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0" windowWidth="21615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'Sheet1'!$A$2:$J$130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<sst xmlns="http://schemas.openxmlformats.org/spreadsheetml/2006/main" count="144" uniqueCount="133">
  <si>
    <t>(STATE MONIES ONLY)</t>
  </si>
  <si>
    <t>COUNTY</t>
  </si>
  <si>
    <t>TOTAL REAL PROPERTY TAXES CHARGED</t>
  </si>
  <si>
    <t>AMOUNT DELINQUENT</t>
  </si>
  <si>
    <t>DELINQUENT %</t>
  </si>
  <si>
    <t xml:space="preserve"> TOTAL TANGIBLE PROPERTY TAXES CHARGED </t>
  </si>
  <si>
    <t xml:space="preserve"> AMOUNT DELINQUENT </t>
  </si>
  <si>
    <t>TOTAL STATE PROPERTY TAXES CHARGED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</si>
  <si>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</si>
  <si>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</si>
  <si>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</si>
  <si>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</si>
  <si>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</si>
  <si>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</si>
  <si>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</si>
  <si>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</si>
  <si>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</si>
  <si>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</si>
  <si>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</si>
  <si>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</si>
  <si>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</si>
  <si>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</si>
  <si>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</si>
  <si>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</si>
  <si>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</si>
  <si>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</si>
  <si>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</si>
  <si>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</si>
  <si>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</si>
  <si>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</si>
  <si>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</si>
  <si>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</si>
  <si>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</si>
  <si>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</si>
  <si>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</si>
  <si>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</si>
  <si>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</si>
  <si>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</si>
  <si>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</si>
  <si>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</si>
  <si>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</si>
  <si>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</si>
  <si>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</si>
  <si>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</si>
  <si>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</si>
  <si>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</si>
  <si>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</si>
  <si>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</si>
  <si>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</si>
  <si>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</si>
  <si>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</si>
  <si>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</si>
  <si>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</si>
  <si>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</si>
  <si>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</si>
  <si>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</si>
  <si>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</si>
  <si>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</si>
  <si>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</si>
  <si>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</si>
  <si>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</si>
  <si>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</si>
  <si>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</si>
  <si>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</si>
  <si>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</si>
  <si>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</si>
  <si>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</si>
  <si>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</si>
  <si>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</si>
  <si>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</si>
  <si>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</si>
  <si>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</si>
  <si>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</si>
  <si>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</si>
  <si>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</si>
  <si>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</si>
  <si>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</si>
  <si>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</si>
  <si>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</si>
  <si>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</si>
  <si>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</si>
  <si>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</si>
  <si>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</si>
  <si>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</si>
  <si>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</si>
  <si>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</si>
  <si>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</si>
  <si>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</si>
  <si>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</si>
  <si>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</si>
  <si>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</si>
  <si>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</si>
  <si>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</si>
  <si>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</si>
  <si>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</si>
  <si>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</si>
  <si>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</si>
  <si>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</si>
  <si>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</si>
  <si>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</si>
  <si>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</si>
  <si>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</si>
  <si>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</si>
  <si>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</si>
  <si>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</si>
  <si>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</si>
  <si>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</si>
  <si>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</si>
  <si>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</si>
  <si>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</si>
  <si>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</si>
  <si>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</si>
  <si>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</si>
  <si>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</si>
  <si>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</si>
  <si>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</si>
  <si>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</si>
  <si>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</si>
  <si>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</si>
  <si>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</si>
  <si>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</si>
  <si>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</si>
  <si>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</si>
  <si>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</si>
  <si>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</si>
  <si>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</si>
  <si>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</si>
  <si>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</si>
  <si>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</si>
  <si>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</si>
  <si>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</si>
  <si>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NOTE: Effective 2006, Intagible Property Taxes are exempt.</t>
  </si>
  <si>
    <t xml:space="preserve"> SHERIFF COLLECTION-DELINQUENCY REPORT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</si>
</sst>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2" fontId="2" fillId="0" borderId="10" xfId="56" applyNumberFormat="1" applyBorder="1">
      <alignment/>
      <protection/>
    </xf>
    <xf numFmtId="164" fontId="2" fillId="0" borderId="0" xfId="44" applyNumberFormat="1" applyFont="1" applyAlignment="1">
      <alignment/>
    </xf>
    <xf numFmtId="164" fontId="2" fillId="0" borderId="10" xfId="44" applyNumberFormat="1" applyFont="1" applyBorder="1" applyAlignment="1">
      <alignment/>
    </xf>
    <xf numFmtId="164" fontId="2" fillId="0" borderId="0" xfId="56" applyNumberFormat="1">
      <alignment/>
      <protection/>
    </xf>
    <xf numFmtId="0" fontId="2" fillId="0" borderId="10" xfId="56" applyBorder="1">
      <alignment/>
      <protection/>
    </xf>
    <xf numFmtId="164" fontId="2" fillId="0" borderId="0" xfId="44" applyNumberFormat="1" applyFont="1" applyAlignment="1" applyProtection="1">
      <alignment/>
      <protection/>
    </xf>
    <xf numFmtId="0" fontId="3" fillId="0" borderId="11" xfId="56" applyFont="1" applyBorder="1">
      <alignment/>
      <protection/>
    </xf>
    <xf numFmtId="0" fontId="3" fillId="0" borderId="11" xfId="56" applyFont="1" applyBorder="1" applyAlignment="1">
      <alignment horizontal="center" wrapText="1"/>
      <protection/>
    </xf>
    <xf numFmtId="0" fontId="3" fillId="0" borderId="11" xfId="56" applyFont="1" applyBorder="1" applyAlignment="1" applyProtection="1">
      <alignment horizontal="center" wrapText="1"/>
      <protection/>
    </xf>
    <xf numFmtId="0" fontId="3" fillId="0" borderId="0" xfId="56" applyFont="1" applyAlignment="1">
      <alignment horizontal="center"/>
      <protection/>
    </xf>
    <xf numFmtId="164" fontId="3" fillId="0" borderId="0" xfId="44" applyNumberFormat="1" applyFont="1" applyAlignment="1">
      <alignment/>
    </xf>
    <xf numFmtId="0" fontId="2" fillId="0" borderId="0" xfId="56" applyFont="1">
      <alignment/>
      <protection/>
    </xf>
    <xf numFmtId="164" fontId="2" fillId="0" borderId="0" xfId="44" applyNumberFormat="1" applyFont="1" applyAlignment="1">
      <alignment/>
    </xf>
    <xf numFmtId="3" fontId="2" fillId="0" borderId="0" xfId="56" applyNumberFormat="1" applyFont="1" applyProtection="1">
      <alignment/>
      <protection/>
    </xf>
    <xf numFmtId="165" fontId="3" fillId="0" borderId="0" xfId="56" applyNumberFormat="1" applyFont="1" applyAlignment="1">
      <alignment horizontal="left"/>
      <protection/>
    </xf>
    <xf numFmtId="2" fontId="2" fillId="0" borderId="0" xfId="56" applyNumberFormat="1" applyAlignment="1">
      <alignment horizontal="center"/>
      <protection/>
    </xf>
    <xf numFmtId="2" fontId="2" fillId="0" borderId="10" xfId="56" applyNumberFormat="1" applyBorder="1" applyAlignment="1">
      <alignment horizontal="center"/>
      <protection/>
    </xf>
    <xf numFmtId="2" fontId="3" fillId="0" borderId="0" xfId="56" applyNumberFormat="1" applyFont="1" applyAlignment="1">
      <alignment horizontal="center"/>
      <protection/>
    </xf>
    <xf numFmtId="37" fontId="2" fillId="0" borderId="0" xfId="56" applyNumberFormat="1">
      <alignment/>
      <protection/>
    </xf>
    <xf numFmtId="38" fontId="2" fillId="0" borderId="0" xfId="56" applyNumberFormat="1" applyAlignment="1">
      <alignment horizontal="right"/>
      <protection/>
    </xf>
    <xf numFmtId="0" fontId="3" fillId="0" borderId="0" xfId="56" applyFont="1" applyFill="1">
      <alignment/>
      <protection/>
    </xf>
    <xf numFmtId="2" fontId="2" fillId="0" borderId="0" xfId="56" applyNumberFormat="1" applyFill="1" applyAlignment="1">
      <alignment horizontal="center"/>
      <protection/>
    </xf>
    <xf numFmtId="0" fontId="37" fillId="0" borderId="0" xfId="56" applyFont="1" applyFill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pane ySplit="1" topLeftCell="A105" activePane="bottomLeft" state="frozen"/>
      <selection pane="topLeft" activeCell="A1" sqref="A1"/>
      <selection pane="bottomLeft" activeCell="G129" sqref="G129"/>
    </sheetView>
  </sheetViews>
  <sheetFormatPr defaultColWidth="9.140625" defaultRowHeight="15"/>
  <cols>
    <col min="1" max="1" width="14.421875" style="0" customWidth="1"/>
    <col min="2" max="2" width="13.57421875" style="0" customWidth="1"/>
    <col min="3" max="4" width="13.7109375" style="0" customWidth="1"/>
    <col min="5" max="6" width="13.57421875" style="0" customWidth="1"/>
    <col min="7" max="7" width="13.140625" style="0" customWidth="1"/>
    <col min="8" max="8" width="13.7109375" style="0" customWidth="1"/>
    <col min="9" max="9" width="12.7109375" style="0" customWidth="1"/>
    <col min="10" max="10" width="13.57421875" style="0" customWidth="1"/>
  </cols>
  <sheetData>
    <row r="1" spans="1:10" ht="64.5">
      <c r="A1" s="9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4</v>
      </c>
      <c r="H1" s="10" t="s">
        <v>7</v>
      </c>
      <c r="I1" s="10" t="s">
        <v>8</v>
      </c>
      <c r="J1" s="11" t="s">
        <v>9</v>
      </c>
    </row>
    <row r="2" spans="1:11" ht="15">
      <c r="A2" s="26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1">
        <v>1</v>
      </c>
    </row>
    <row r="3" spans="1:11" ht="1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1"/>
    </row>
    <row r="4" spans="1:1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5">
      <c r="A5" s="1"/>
      <c r="B5" s="1"/>
      <c r="C5" s="1"/>
      <c r="D5" s="1"/>
      <c r="E5" s="1"/>
      <c r="F5" s="2"/>
      <c r="G5" s="2"/>
      <c r="H5" s="1"/>
      <c r="I5" s="1"/>
      <c r="J5" s="1"/>
      <c r="K5" s="1"/>
    </row>
    <row r="6" spans="1:11" ht="64.5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4</v>
      </c>
      <c r="H6" s="10" t="s">
        <v>7</v>
      </c>
      <c r="I6" s="10" t="s">
        <v>8</v>
      </c>
      <c r="J6" s="11" t="s">
        <v>9</v>
      </c>
      <c r="K6" s="1"/>
    </row>
    <row r="7" spans="1:11" ht="15">
      <c r="A7" s="2" t="s">
        <v>10</v>
      </c>
      <c r="B7" s="4">
        <f>655603.18+6659.87+43.92-3290.22</f>
        <v>659016.7500000001</v>
      </c>
      <c r="C7" s="4">
        <f>9320.72</f>
        <v>9320.72</v>
      </c>
      <c r="D7" s="18">
        <f>C7/B7*100</f>
        <v>1.4143373442329041</v>
      </c>
      <c r="E7" s="4">
        <f>75833.96+23733.42+16286.4+205.43+5.32+1254.29+207.81+99.86+10.5-259.02-18.48-25.93</f>
        <v>117333.56</v>
      </c>
      <c r="F7" s="4">
        <f>173.54+12.67</f>
        <v>186.20999999999998</v>
      </c>
      <c r="G7" s="18">
        <f>F7/E7*100</f>
        <v>0.15870139796320845</v>
      </c>
      <c r="H7" s="6">
        <f>B7+E7</f>
        <v>776350.31</v>
      </c>
      <c r="I7" s="6">
        <f>C7+F7</f>
        <v>9506.929999999998</v>
      </c>
      <c r="J7" s="18">
        <f>I7/H7*100</f>
        <v>1.2245670385576324</v>
      </c>
      <c r="K7" s="1"/>
    </row>
    <row r="8" spans="1:11" ht="15">
      <c r="A8" s="23" t="s">
        <v>11</v>
      </c>
      <c r="B8" s="4">
        <f>840545.56+2210.91+554.83-2638.45</f>
        <v>840672.8500000001</v>
      </c>
      <c r="C8" s="4">
        <f>15952.03</f>
        <v>15952.03</v>
      </c>
      <c r="D8" s="18">
        <f aca="true" t="shared" si="0" ref="D8:D71">C8/B8*100</f>
        <v>1.897531245359</v>
      </c>
      <c r="E8" s="4">
        <f>472.5+102682.73+196691.58+24768.21+19.8+10.44+149.22-8.11</f>
        <v>324786.37</v>
      </c>
      <c r="F8" s="4">
        <f>865.03+5</f>
        <v>870.03</v>
      </c>
      <c r="G8" s="18">
        <f aca="true" t="shared" si="1" ref="G8:G71">F8/E8*100</f>
        <v>0.2678776206033523</v>
      </c>
      <c r="H8" s="6">
        <f aca="true" t="shared" si="2" ref="H8:H71">B8+E8</f>
        <v>1165459.2200000002</v>
      </c>
      <c r="I8" s="6">
        <f aca="true" t="shared" si="3" ref="I8:I71">C8+F8</f>
        <v>16822.06</v>
      </c>
      <c r="J8" s="18">
        <f aca="true" t="shared" si="4" ref="J8:J71">I8/H8*100</f>
        <v>1.443384694318176</v>
      </c>
      <c r="K8" s="1"/>
    </row>
    <row r="9" spans="1:11" ht="15">
      <c r="A9" s="2" t="s">
        <v>12</v>
      </c>
      <c r="B9" s="4">
        <f>1571143.54+362.22+114.65+24.4-3898.39</f>
        <v>1567746.42</v>
      </c>
      <c r="C9" s="4">
        <v>19534.7</v>
      </c>
      <c r="D9" s="18">
        <f t="shared" si="0"/>
        <v>1.246036970698361</v>
      </c>
      <c r="E9" s="4">
        <f>143693.23+165040.7+35658.07+1039.51+3.09+138.45+568.24-1692.04</f>
        <v>344449.2500000001</v>
      </c>
      <c r="F9" s="15">
        <f>626.81+12.93+84.3</f>
        <v>724.0399999999998</v>
      </c>
      <c r="G9" s="18">
        <f t="shared" si="1"/>
        <v>0.21020222863019725</v>
      </c>
      <c r="H9" s="6">
        <f t="shared" si="2"/>
        <v>1912195.67</v>
      </c>
      <c r="I9" s="6">
        <f t="shared" si="3"/>
        <v>20258.74</v>
      </c>
      <c r="J9" s="18">
        <f t="shared" si="4"/>
        <v>1.059449109619624</v>
      </c>
      <c r="K9" s="1"/>
    </row>
    <row r="10" spans="1:11" ht="15">
      <c r="A10" s="23" t="s">
        <v>13</v>
      </c>
      <c r="B10" s="4">
        <f>473959.14+103.97+21.96-1203.17</f>
        <v>472881.9</v>
      </c>
      <c r="C10" s="4">
        <f>18169.42+97.6</f>
        <v>18267.019999999997</v>
      </c>
      <c r="D10" s="18">
        <f t="shared" si="0"/>
        <v>3.8629137634576405</v>
      </c>
      <c r="E10" s="4">
        <f>265322.04+196863.1+28730.43+2499.72+5.4+15513.6+0.29-48216.41-269.23</f>
        <v>460448.93999999994</v>
      </c>
      <c r="F10" s="4">
        <f>100.85+68.39</f>
        <v>169.24</v>
      </c>
      <c r="G10" s="18">
        <f t="shared" si="1"/>
        <v>0.0367554326436282</v>
      </c>
      <c r="H10" s="6">
        <f t="shared" si="2"/>
        <v>933330.84</v>
      </c>
      <c r="I10" s="6">
        <f t="shared" si="3"/>
        <v>18436.26</v>
      </c>
      <c r="J10" s="18">
        <f t="shared" si="4"/>
        <v>1.9753188483517803</v>
      </c>
      <c r="K10" s="1"/>
    </row>
    <row r="11" spans="1:11" ht="15">
      <c r="A11" s="2" t="s">
        <v>14</v>
      </c>
      <c r="B11" s="4">
        <f>2251787.14+51.61+1952.78+166.29-3074.03</f>
        <v>2250883.79</v>
      </c>
      <c r="C11" s="4">
        <v>27483.53</v>
      </c>
      <c r="D11" s="18">
        <f t="shared" si="0"/>
        <v>1.22101061467949</v>
      </c>
      <c r="E11" s="4">
        <f>556.07+546157.31+480920.24+97278.88+1138.56+26.61+8.1+60.75-171.14</f>
        <v>1125975.3800000004</v>
      </c>
      <c r="F11" s="4">
        <f>4948.37+184.65+600.38</f>
        <v>5733.4</v>
      </c>
      <c r="G11" s="18">
        <f t="shared" si="1"/>
        <v>0.5091940820233563</v>
      </c>
      <c r="H11" s="6">
        <f t="shared" si="2"/>
        <v>3376859.1700000004</v>
      </c>
      <c r="I11" s="6">
        <f t="shared" si="3"/>
        <v>33216.93</v>
      </c>
      <c r="J11" s="18">
        <f t="shared" si="4"/>
        <v>0.9836634673752176</v>
      </c>
      <c r="K11" s="1"/>
    </row>
    <row r="12" spans="1:11" ht="15">
      <c r="A12" s="2" t="s">
        <v>15</v>
      </c>
      <c r="B12" s="4">
        <f>356111.17+170.07-3120.52</f>
        <v>353160.72</v>
      </c>
      <c r="C12" s="4">
        <v>8221.4</v>
      </c>
      <c r="D12" s="18">
        <f t="shared" si="0"/>
        <v>2.327948589526038</v>
      </c>
      <c r="E12" s="4">
        <f>102.11+54678.07+305.4+3051.04+10.87+4.31</f>
        <v>58151.8</v>
      </c>
      <c r="F12" s="4">
        <f>20.13+117.55+27.19</f>
        <v>164.87</v>
      </c>
      <c r="G12" s="18">
        <f t="shared" si="1"/>
        <v>0.28351658934031276</v>
      </c>
      <c r="H12" s="6">
        <f t="shared" si="2"/>
        <v>411312.51999999996</v>
      </c>
      <c r="I12" s="6">
        <f t="shared" si="3"/>
        <v>8386.27</v>
      </c>
      <c r="J12" s="18">
        <f t="shared" si="4"/>
        <v>2.038904626584185</v>
      </c>
      <c r="K12" s="1"/>
    </row>
    <row r="13" spans="1:11" ht="15">
      <c r="A13" s="23" t="s">
        <v>16</v>
      </c>
      <c r="B13" s="4">
        <f>788162.76+1830+40106.73-11800.64</f>
        <v>818298.85</v>
      </c>
      <c r="C13" s="4">
        <v>36160.8</v>
      </c>
      <c r="D13" s="18">
        <f t="shared" si="0"/>
        <v>4.419021241444981</v>
      </c>
      <c r="E13" s="4">
        <f>403788.35+77562.92+32886.75+54.6+39.16</f>
        <v>514331.7799999999</v>
      </c>
      <c r="F13" s="4">
        <f>115235.75+9643.67+1590.87</f>
        <v>126470.29</v>
      </c>
      <c r="G13" s="18">
        <f t="shared" si="1"/>
        <v>24.589242764660586</v>
      </c>
      <c r="H13" s="6">
        <f t="shared" si="2"/>
        <v>1332630.63</v>
      </c>
      <c r="I13" s="6">
        <f t="shared" si="3"/>
        <v>162631.09</v>
      </c>
      <c r="J13" s="18">
        <f t="shared" si="4"/>
        <v>12.203763468951633</v>
      </c>
      <c r="K13" s="1"/>
    </row>
    <row r="14" spans="1:11" ht="15">
      <c r="A14" s="23" t="s">
        <v>17</v>
      </c>
      <c r="B14" s="4">
        <f>12676212.23+7018.05+299.3+22129.96-16433.72</f>
        <v>12689225.820000002</v>
      </c>
      <c r="C14" s="4">
        <v>66829.66</v>
      </c>
      <c r="D14" s="24">
        <f t="shared" si="0"/>
        <v>0.5266645967846759</v>
      </c>
      <c r="E14" s="4">
        <f>33+4016955.57+1718961.67+574086.73+1038.6+5580.04+8396.38+21428.06+3510.08+27846.71+4766.34+7614.2+12720.7-17733.55-13083.42</f>
        <v>6372121.11</v>
      </c>
      <c r="F14" s="4">
        <f>51419.48+1105.9+4852.89</f>
        <v>57378.270000000004</v>
      </c>
      <c r="G14" s="18">
        <f t="shared" si="1"/>
        <v>0.9004579324450411</v>
      </c>
      <c r="H14" s="6">
        <f t="shared" si="2"/>
        <v>19061346.930000003</v>
      </c>
      <c r="I14" s="6">
        <f t="shared" si="3"/>
        <v>124207.93000000001</v>
      </c>
      <c r="J14" s="24">
        <f t="shared" si="4"/>
        <v>0.6516219995162744</v>
      </c>
      <c r="K14" s="1"/>
    </row>
    <row r="15" spans="1:11" ht="15">
      <c r="A15" s="2" t="s">
        <v>18</v>
      </c>
      <c r="B15" s="15">
        <f>1301245.58+593.95+1637.31-4410.04</f>
        <v>1299066.8</v>
      </c>
      <c r="C15" s="4">
        <v>21814.66</v>
      </c>
      <c r="D15" s="18">
        <f t="shared" si="0"/>
        <v>1.6792562168473553</v>
      </c>
      <c r="E15" s="15">
        <f>374.25+252476.62+236.87+38679.34+229656.13+1372.45+2341.65+177.22+8.76-14810.04-2174.8</f>
        <v>508338.44999999995</v>
      </c>
      <c r="F15" s="15">
        <f>1442.53+10.05+2.52+5.54+3.44</f>
        <v>1464.08</v>
      </c>
      <c r="G15" s="18">
        <f t="shared" si="1"/>
        <v>0.28801283869044336</v>
      </c>
      <c r="H15" s="6">
        <f t="shared" si="2"/>
        <v>1807405.25</v>
      </c>
      <c r="I15" s="6">
        <f t="shared" si="3"/>
        <v>23278.739999999998</v>
      </c>
      <c r="J15" s="18">
        <f t="shared" si="4"/>
        <v>1.2879646111462826</v>
      </c>
      <c r="K15" s="14"/>
    </row>
    <row r="16" spans="1:11" ht="15">
      <c r="A16" s="2" t="s">
        <v>19</v>
      </c>
      <c r="B16" s="15">
        <f>2280937.78-9126.45</f>
        <v>2271811.3299999996</v>
      </c>
      <c r="C16" s="15">
        <v>105323.69</v>
      </c>
      <c r="D16" s="18">
        <f t="shared" si="0"/>
        <v>4.636110781259288</v>
      </c>
      <c r="E16" s="15">
        <f>150+723843.15+515223.81+160399+2.06+12930.17+8484.19+4265.16+620.96+337.5+103.17+4031.71+499.28-16254.83</f>
        <v>1414635.3299999996</v>
      </c>
      <c r="F16" s="15">
        <f>36063.89+8264.31+11956.66+43.44+78.08</f>
        <v>56406.380000000005</v>
      </c>
      <c r="G16" s="18">
        <f t="shared" si="1"/>
        <v>3.987344215416988</v>
      </c>
      <c r="H16" s="6">
        <f t="shared" si="2"/>
        <v>3686446.659999999</v>
      </c>
      <c r="I16" s="6">
        <f t="shared" si="3"/>
        <v>161730.07</v>
      </c>
      <c r="J16" s="18">
        <f t="shared" si="4"/>
        <v>4.387153400450938</v>
      </c>
      <c r="K16" s="1"/>
    </row>
    <row r="17" spans="1:11" ht="15">
      <c r="A17" s="2" t="s">
        <v>20</v>
      </c>
      <c r="B17" s="4">
        <f>1899239.71+96.01+239.08+229.6-3540.44</f>
        <v>1896263.9600000002</v>
      </c>
      <c r="C17" s="4">
        <v>20846.75</v>
      </c>
      <c r="D17" s="18">
        <f t="shared" si="0"/>
        <v>1.0993590786801641</v>
      </c>
      <c r="E17" s="4">
        <f>405138.68+328813.86+104130.09+1536+0.85</f>
        <v>839619.48</v>
      </c>
      <c r="F17" s="4">
        <f>2467.95+310.39+455.32+0.03</f>
        <v>3233.69</v>
      </c>
      <c r="G17" s="18">
        <f t="shared" si="1"/>
        <v>0.38513756255393217</v>
      </c>
      <c r="H17" s="6">
        <f t="shared" si="2"/>
        <v>2735883.4400000004</v>
      </c>
      <c r="I17" s="6">
        <f t="shared" si="3"/>
        <v>24080.44</v>
      </c>
      <c r="J17" s="18">
        <f t="shared" si="4"/>
        <v>0.8801705382594807</v>
      </c>
      <c r="K17" s="1"/>
    </row>
    <row r="18" spans="1:10" ht="15">
      <c r="A18" s="2" t="s">
        <v>21</v>
      </c>
      <c r="B18" s="4">
        <f>324307-370.39</f>
        <v>323936.61</v>
      </c>
      <c r="C18" s="4">
        <v>3168.04</v>
      </c>
      <c r="D18" s="18">
        <f t="shared" si="0"/>
        <v>0.97798146371909</v>
      </c>
      <c r="E18" s="4">
        <f>47040.88+55411.42+7937.13+71.15+2.41</f>
        <v>110462.98999999999</v>
      </c>
      <c r="F18" s="4">
        <v>1323.41</v>
      </c>
      <c r="G18" s="18">
        <f t="shared" si="1"/>
        <v>1.198057376502302</v>
      </c>
      <c r="H18" s="6">
        <f t="shared" si="2"/>
        <v>434399.6</v>
      </c>
      <c r="I18" s="6">
        <f t="shared" si="3"/>
        <v>4491.45</v>
      </c>
      <c r="J18" s="18">
        <f t="shared" si="4"/>
        <v>1.033944322232341</v>
      </c>
    </row>
    <row r="19" spans="1:10" ht="15">
      <c r="A19" s="23" t="s">
        <v>22</v>
      </c>
      <c r="B19" s="4">
        <f>351256.31+6143.52+51.24-9786.94</f>
        <v>347664.13</v>
      </c>
      <c r="C19" s="4">
        <v>35526.58</v>
      </c>
      <c r="D19" s="24">
        <f t="shared" si="0"/>
        <v>10.218649821596495</v>
      </c>
      <c r="E19" s="4">
        <f>164049.47+6461.93+9400.22+0.16</f>
        <v>179911.78</v>
      </c>
      <c r="F19" s="4">
        <f>54599.82+5322.41+69.28</f>
        <v>59991.509999999995</v>
      </c>
      <c r="G19" s="18">
        <f t="shared" si="1"/>
        <v>33.34495940176902</v>
      </c>
      <c r="H19" s="6">
        <f t="shared" si="2"/>
        <v>527575.91</v>
      </c>
      <c r="I19" s="6">
        <f t="shared" si="3"/>
        <v>95518.09</v>
      </c>
      <c r="J19" s="24">
        <f t="shared" si="4"/>
        <v>18.105089369982792</v>
      </c>
    </row>
    <row r="20" spans="1:10" ht="15">
      <c r="A20" s="2" t="s">
        <v>23</v>
      </c>
      <c r="B20" s="4">
        <f>1016170.3+137.74+7614.4+48.8-1455.58</f>
        <v>1022515.6600000001</v>
      </c>
      <c r="C20" s="4">
        <v>14763.09</v>
      </c>
      <c r="D20" s="18">
        <f t="shared" si="0"/>
        <v>1.4438008704922913</v>
      </c>
      <c r="E20" s="4">
        <f>2573.24+96932.45+21515.82+20012.14+257.15+6.53</f>
        <v>141297.33000000002</v>
      </c>
      <c r="F20" s="4">
        <f>384.52+43.56+87.01</f>
        <v>515.09</v>
      </c>
      <c r="G20" s="18">
        <f t="shared" si="1"/>
        <v>0.364543335673788</v>
      </c>
      <c r="H20" s="6">
        <f t="shared" si="2"/>
        <v>1163812.9900000002</v>
      </c>
      <c r="I20" s="6">
        <f t="shared" si="3"/>
        <v>15278.18</v>
      </c>
      <c r="J20" s="18">
        <f t="shared" si="4"/>
        <v>1.3127693307496076</v>
      </c>
    </row>
    <row r="21" spans="1:10" ht="15">
      <c r="A21" s="2" t="s">
        <v>24</v>
      </c>
      <c r="B21" s="4">
        <f>5807246.52+6068.05+1089.01+1745.83-19286.28</f>
        <v>5796863.129999999</v>
      </c>
      <c r="C21" s="4">
        <v>53067.92</v>
      </c>
      <c r="D21" s="18">
        <f t="shared" si="0"/>
        <v>0.9154592545986162</v>
      </c>
      <c r="E21" s="15">
        <f>3576.23+1013700.06+240073.77+885901.27+224.47+115.47+32.99+771.1+19.43-1049.93-2690.83</f>
        <v>2140674.0300000007</v>
      </c>
      <c r="F21" s="4">
        <f>1535+280.5</f>
        <v>1815.5</v>
      </c>
      <c r="G21" s="18">
        <f t="shared" si="1"/>
        <v>0.08480973630534487</v>
      </c>
      <c r="H21" s="6">
        <f t="shared" si="2"/>
        <v>7937537.16</v>
      </c>
      <c r="I21" s="6">
        <f t="shared" si="3"/>
        <v>54883.42</v>
      </c>
      <c r="J21" s="18">
        <f t="shared" si="4"/>
        <v>0.6914414243825726</v>
      </c>
    </row>
    <row r="22" spans="1:10" ht="15">
      <c r="A22" s="2" t="s">
        <v>25</v>
      </c>
      <c r="B22" s="4">
        <f>437981.03+1402.49+12.93-1227.61</f>
        <v>438168.84</v>
      </c>
      <c r="C22" s="4">
        <v>13753.45</v>
      </c>
      <c r="D22" s="18">
        <f t="shared" si="0"/>
        <v>3.138847116558996</v>
      </c>
      <c r="E22" s="4">
        <f>67794.54+60811.43+11116.43+1.5+0.45</f>
        <v>139724.35</v>
      </c>
      <c r="F22" s="4">
        <f>1032.79+512.61+608.09</f>
        <v>2153.4900000000002</v>
      </c>
      <c r="G22" s="18">
        <f t="shared" si="1"/>
        <v>1.5412417377500773</v>
      </c>
      <c r="H22" s="6">
        <f t="shared" si="2"/>
        <v>577893.1900000001</v>
      </c>
      <c r="I22" s="6">
        <f t="shared" si="3"/>
        <v>15906.94</v>
      </c>
      <c r="J22" s="18">
        <f t="shared" si="4"/>
        <v>2.7525743987396702</v>
      </c>
    </row>
    <row r="23" spans="1:10" ht="15">
      <c r="A23" s="2" t="s">
        <v>26</v>
      </c>
      <c r="B23" s="4">
        <f>504501.01+3254.02+146.16-3667.94</f>
        <v>504233.25</v>
      </c>
      <c r="C23" s="4">
        <v>7115.78</v>
      </c>
      <c r="D23" s="18">
        <f t="shared" si="0"/>
        <v>1.411208007405303</v>
      </c>
      <c r="E23" s="4">
        <f>1477.72+113672.87+181123.45+27932.33+596.35+13.75</f>
        <v>324816.47000000003</v>
      </c>
      <c r="F23" s="4">
        <f>965.79+111.8</f>
        <v>1077.59</v>
      </c>
      <c r="G23" s="18">
        <f t="shared" si="1"/>
        <v>0.3317534975981975</v>
      </c>
      <c r="H23" s="6">
        <f t="shared" si="2"/>
        <v>829049.72</v>
      </c>
      <c r="I23" s="6">
        <f t="shared" si="3"/>
        <v>8193.369999999999</v>
      </c>
      <c r="J23" s="18">
        <f t="shared" si="4"/>
        <v>0.9882845144679621</v>
      </c>
    </row>
    <row r="24" spans="1:10" ht="15">
      <c r="A24" s="2" t="s">
        <v>27</v>
      </c>
      <c r="B24" s="4">
        <f>2237874.31+4131.69+39.48+1925.85-9111.94</f>
        <v>2234859.39</v>
      </c>
      <c r="C24" s="4">
        <v>26656.29</v>
      </c>
      <c r="D24" s="18">
        <f t="shared" si="0"/>
        <v>1.1927502069828204</v>
      </c>
      <c r="E24" s="4">
        <f>337628.3+213023.18+72132.33+645.7+49.32+1087.32+42.03+19.86</f>
        <v>624628.0399999998</v>
      </c>
      <c r="F24" s="4">
        <f>1258.67+54.65+277.85+167.67</f>
        <v>1758.8400000000001</v>
      </c>
      <c r="G24" s="18">
        <f t="shared" si="1"/>
        <v>0.28158197957299524</v>
      </c>
      <c r="H24" s="6">
        <f t="shared" si="2"/>
        <v>2859487.4299999997</v>
      </c>
      <c r="I24" s="6">
        <f t="shared" si="3"/>
        <v>28415.13</v>
      </c>
      <c r="J24" s="18">
        <f t="shared" si="4"/>
        <v>0.9937141077063592</v>
      </c>
    </row>
    <row r="25" spans="1:10" ht="15">
      <c r="A25" s="2" t="s">
        <v>28</v>
      </c>
      <c r="B25" s="15">
        <f>6530055.36+1853.06+212.04-43355.37</f>
        <v>6488765.09</v>
      </c>
      <c r="C25" s="15">
        <v>58847.01</v>
      </c>
      <c r="D25" s="18">
        <f t="shared" si="0"/>
        <v>0.9069061552357723</v>
      </c>
      <c r="E25" s="15">
        <f>827138.2+354222.3+110834.99+194.02+4.92+251.77+12620.65+233.95</f>
        <v>1305500.7999999998</v>
      </c>
      <c r="F25" s="15">
        <f>6085.56+4.72+103.03</f>
        <v>6193.31</v>
      </c>
      <c r="G25" s="18">
        <f t="shared" si="1"/>
        <v>0.47440108807286835</v>
      </c>
      <c r="H25" s="6">
        <f t="shared" si="2"/>
        <v>7794265.89</v>
      </c>
      <c r="I25" s="6">
        <f t="shared" si="3"/>
        <v>65040.32</v>
      </c>
      <c r="J25" s="18">
        <f t="shared" si="4"/>
        <v>0.8344637059847596</v>
      </c>
    </row>
    <row r="26" spans="1:10" ht="15">
      <c r="A26" s="23" t="s">
        <v>29</v>
      </c>
      <c r="B26" s="4">
        <f>190992.31+106.14+17.23-1957.06</f>
        <v>189158.62000000002</v>
      </c>
      <c r="C26" s="4">
        <v>1880.02</v>
      </c>
      <c r="D26" s="18">
        <f t="shared" si="0"/>
        <v>0.9938854491537313</v>
      </c>
      <c r="E26" s="4">
        <f>36530.32+847.17+1534.54+16.88+1.76</f>
        <v>38930.67</v>
      </c>
      <c r="F26" s="4">
        <f>1863.17+0.57</f>
        <v>1863.74</v>
      </c>
      <c r="G26" s="18">
        <f t="shared" si="1"/>
        <v>4.787330914160995</v>
      </c>
      <c r="H26" s="6">
        <f t="shared" si="2"/>
        <v>228089.29000000004</v>
      </c>
      <c r="I26" s="6">
        <f t="shared" si="3"/>
        <v>3743.76</v>
      </c>
      <c r="J26" s="18">
        <f t="shared" si="4"/>
        <v>1.6413572070832434</v>
      </c>
    </row>
    <row r="27" spans="1:10" ht="15">
      <c r="A27" s="2" t="s">
        <v>30</v>
      </c>
      <c r="B27" s="15">
        <f>584002.89+361.58-821.18</f>
        <v>583543.2899999999</v>
      </c>
      <c r="C27" s="15">
        <v>21523.24</v>
      </c>
      <c r="D27" s="18">
        <f t="shared" si="0"/>
        <v>3.6883707462388964</v>
      </c>
      <c r="E27" s="15">
        <f>211984.3+129820.89+15737.65+202801.96+6403.88</f>
        <v>566748.68</v>
      </c>
      <c r="F27" s="15">
        <f>848.5+50.7</f>
        <v>899.2</v>
      </c>
      <c r="G27" s="18">
        <f t="shared" si="1"/>
        <v>0.15865939026095305</v>
      </c>
      <c r="H27" s="6">
        <f t="shared" si="2"/>
        <v>1150291.97</v>
      </c>
      <c r="I27" s="6">
        <f t="shared" si="3"/>
        <v>22422.440000000002</v>
      </c>
      <c r="J27" s="18">
        <f t="shared" si="4"/>
        <v>1.9492824939045694</v>
      </c>
    </row>
    <row r="28" spans="1:10" ht="15">
      <c r="A28" s="23" t="s">
        <v>31</v>
      </c>
      <c r="B28" s="15">
        <f>816058.79+456.89+2474.48+216.31-9938.76</f>
        <v>809267.7100000001</v>
      </c>
      <c r="C28" s="15">
        <v>26576.94</v>
      </c>
      <c r="D28" s="18">
        <f t="shared" si="0"/>
        <v>3.2840727081524106</v>
      </c>
      <c r="E28" s="15">
        <f>102656.47+42187.32+15569.98+51.98</f>
        <v>160465.75000000003</v>
      </c>
      <c r="F28" s="15">
        <f>789.99+62.48+1140.41</f>
        <v>1992.88</v>
      </c>
      <c r="G28" s="18">
        <f t="shared" si="1"/>
        <v>1.2419348054023989</v>
      </c>
      <c r="H28" s="6">
        <f t="shared" si="2"/>
        <v>969733.4600000001</v>
      </c>
      <c r="I28" s="6">
        <f t="shared" si="3"/>
        <v>28569.82</v>
      </c>
      <c r="J28" s="18">
        <f t="shared" si="4"/>
        <v>2.946151821965594</v>
      </c>
    </row>
    <row r="29" spans="1:10" ht="15">
      <c r="A29" s="2" t="s">
        <v>32</v>
      </c>
      <c r="B29" s="4">
        <f>552459.13+225.09+219.2-1893.68</f>
        <v>551009.7399999999</v>
      </c>
      <c r="C29" s="4">
        <v>7353.12</v>
      </c>
      <c r="D29" s="18">
        <f t="shared" si="0"/>
        <v>1.3344809476507622</v>
      </c>
      <c r="E29" s="4">
        <f>53206.47+28166.49+13578.21+115.15</f>
        <v>95066.32</v>
      </c>
      <c r="F29" s="4">
        <v>324.65</v>
      </c>
      <c r="G29" s="18">
        <f t="shared" si="1"/>
        <v>0.3414984402467666</v>
      </c>
      <c r="H29" s="6">
        <f t="shared" si="2"/>
        <v>646076.0599999998</v>
      </c>
      <c r="I29" s="6">
        <f t="shared" si="3"/>
        <v>7677.7699999999995</v>
      </c>
      <c r="J29" s="18">
        <f t="shared" si="4"/>
        <v>1.1883693693897281</v>
      </c>
    </row>
    <row r="30" spans="1:10" ht="15">
      <c r="A30" s="2" t="s">
        <v>33</v>
      </c>
      <c r="B30" s="4">
        <f>3481657.08+497.68+4846.96+249.31-6023.48</f>
        <v>3481227.5500000003</v>
      </c>
      <c r="C30" s="4">
        <v>45449.86</v>
      </c>
      <c r="D30" s="18">
        <f t="shared" si="0"/>
        <v>1.3055699274814712</v>
      </c>
      <c r="E30" s="4">
        <f>5508.79+820679.2+852627.23+179958.42+36903.4+72.75+4.07+1900.35+237.58+112.06-2527.17-2.48</f>
        <v>1895474.2000000002</v>
      </c>
      <c r="F30" s="4">
        <f>5802.16+12+385</f>
        <v>6199.16</v>
      </c>
      <c r="G30" s="18">
        <f t="shared" si="1"/>
        <v>0.32705061350874626</v>
      </c>
      <c r="H30" s="6">
        <f t="shared" si="2"/>
        <v>5376701.75</v>
      </c>
      <c r="I30" s="6">
        <f t="shared" si="3"/>
        <v>51649.020000000004</v>
      </c>
      <c r="J30" s="18">
        <f t="shared" si="4"/>
        <v>0.9606078670813386</v>
      </c>
    </row>
    <row r="31" spans="1:10" ht="15">
      <c r="A31" s="2" t="s">
        <v>34</v>
      </c>
      <c r="B31" s="4">
        <f>2718694.6+180.68+1166.07-4653.08</f>
        <v>2715388.27</v>
      </c>
      <c r="C31" s="4">
        <v>36473.36</v>
      </c>
      <c r="D31" s="18">
        <f t="shared" si="0"/>
        <v>1.3432097502579252</v>
      </c>
      <c r="E31" s="4">
        <f>435019.05+431122.84+141530.02+695.31+0.44+339.67+17.49-440.41-22.23-4.1</f>
        <v>1008258.0800000001</v>
      </c>
      <c r="F31" s="4">
        <f>1673.91+56.17+4048.63</f>
        <v>5778.71</v>
      </c>
      <c r="G31" s="18">
        <f t="shared" si="1"/>
        <v>0.5731379807043054</v>
      </c>
      <c r="H31" s="6">
        <f t="shared" si="2"/>
        <v>3723646.35</v>
      </c>
      <c r="I31" s="6">
        <f t="shared" si="3"/>
        <v>42252.07</v>
      </c>
      <c r="J31" s="18">
        <f t="shared" si="4"/>
        <v>1.134696102383622</v>
      </c>
    </row>
    <row r="32" spans="1:10" ht="15">
      <c r="A32" s="2" t="s">
        <v>35</v>
      </c>
      <c r="B32" s="4">
        <f>401416.16+531.3-2471.04</f>
        <v>399476.42</v>
      </c>
      <c r="C32" s="4">
        <v>31269.33</v>
      </c>
      <c r="D32" s="18">
        <f t="shared" si="0"/>
        <v>7.827578408758145</v>
      </c>
      <c r="E32" s="4">
        <f>74244.22+32370.46+6512.49+3.09</f>
        <v>113130.26</v>
      </c>
      <c r="F32" s="4">
        <f>6472.87+10795.59+518.42</f>
        <v>17786.879999999997</v>
      </c>
      <c r="G32" s="18">
        <f t="shared" si="1"/>
        <v>15.722477787994121</v>
      </c>
      <c r="H32" s="6">
        <f t="shared" si="2"/>
        <v>512606.68</v>
      </c>
      <c r="I32" s="6">
        <f t="shared" si="3"/>
        <v>49056.21</v>
      </c>
      <c r="J32" s="18">
        <f t="shared" si="4"/>
        <v>9.569951370902931</v>
      </c>
    </row>
    <row r="33" spans="1:10" ht="15">
      <c r="A33" s="2" t="s">
        <v>36</v>
      </c>
      <c r="B33" s="6">
        <f>454545.69+5633.6+12.2-1223.24</f>
        <v>458968.25</v>
      </c>
      <c r="C33" s="4">
        <v>14306.3</v>
      </c>
      <c r="D33" s="18">
        <f t="shared" si="0"/>
        <v>3.117056571995993</v>
      </c>
      <c r="E33" s="4">
        <f>55407.6+53169.36+6068.5+1234.4+2.3+1003.87+0.82-220.25-19.36-6.24-4.5</f>
        <v>116636.49999999999</v>
      </c>
      <c r="F33" s="4">
        <f>920.61+141.59+8.45</f>
        <v>1070.65</v>
      </c>
      <c r="G33" s="18">
        <f t="shared" si="1"/>
        <v>0.9179373523725421</v>
      </c>
      <c r="H33" s="6">
        <f t="shared" si="2"/>
        <v>575604.75</v>
      </c>
      <c r="I33" s="6">
        <f t="shared" si="3"/>
        <v>15376.949999999999</v>
      </c>
      <c r="J33" s="18">
        <f t="shared" si="4"/>
        <v>2.6714425132871122</v>
      </c>
    </row>
    <row r="34" spans="1:10" ht="15">
      <c r="A34" s="2" t="s">
        <v>37</v>
      </c>
      <c r="B34" s="4">
        <f>378232.82+0.98+654.42+15.86-1876.8</f>
        <v>377027.27999999997</v>
      </c>
      <c r="C34" s="4">
        <v>6019.43</v>
      </c>
      <c r="D34" s="18">
        <f t="shared" si="0"/>
        <v>1.5965502549311554</v>
      </c>
      <c r="E34" s="4">
        <f>52257.51+20159.07+18054.54+95.71+7.66-53.68</f>
        <v>90520.81000000001</v>
      </c>
      <c r="F34" s="4">
        <v>63.97</v>
      </c>
      <c r="G34" s="18">
        <f t="shared" si="1"/>
        <v>0.07066883294570606</v>
      </c>
      <c r="H34" s="6">
        <f t="shared" si="2"/>
        <v>467548.08999999997</v>
      </c>
      <c r="I34" s="6">
        <f t="shared" si="3"/>
        <v>6083.400000000001</v>
      </c>
      <c r="J34" s="18">
        <f t="shared" si="4"/>
        <v>1.3011281898296283</v>
      </c>
    </row>
    <row r="35" spans="1:10" ht="15">
      <c r="A35" s="2" t="s">
        <v>38</v>
      </c>
      <c r="B35" s="4">
        <f>331654.34+6493.08-1458.75</f>
        <v>336688.67000000004</v>
      </c>
      <c r="C35" s="4">
        <v>5477.78</v>
      </c>
      <c r="D35" s="18">
        <f t="shared" si="0"/>
        <v>1.6269570342239315</v>
      </c>
      <c r="E35" s="4">
        <f>32713.63+1234.08+5281.12+889.49+8.09</f>
        <v>40126.409999999996</v>
      </c>
      <c r="F35" s="4">
        <v>98.13</v>
      </c>
      <c r="G35" s="18">
        <f t="shared" si="1"/>
        <v>0.24455215405514724</v>
      </c>
      <c r="H35" s="6">
        <f t="shared" si="2"/>
        <v>376815.08</v>
      </c>
      <c r="I35" s="6">
        <f t="shared" si="3"/>
        <v>5575.91</v>
      </c>
      <c r="J35" s="18">
        <f t="shared" si="4"/>
        <v>1.4797470419708254</v>
      </c>
    </row>
    <row r="36" spans="1:10" ht="15">
      <c r="A36" s="2" t="s">
        <v>39</v>
      </c>
      <c r="B36" s="4">
        <f>6245153.23+21453.6+8770.68+165.19-17519.05</f>
        <v>6258023.65</v>
      </c>
      <c r="C36" s="4">
        <f>40343.17</f>
        <v>40343.17</v>
      </c>
      <c r="D36" s="18">
        <f t="shared" si="0"/>
        <v>0.6446631118116659</v>
      </c>
      <c r="E36" s="4">
        <f>1179301.43+5594.35+4.23+513977.23+85.21+233435.76+19670.2+2729.11+148.06-68730.72-2141.39</f>
        <v>1884073.4700000002</v>
      </c>
      <c r="F36" s="4">
        <f>2074.21+252.27</f>
        <v>2326.48</v>
      </c>
      <c r="G36" s="18">
        <f t="shared" si="1"/>
        <v>0.12348138419464075</v>
      </c>
      <c r="H36" s="6">
        <f t="shared" si="2"/>
        <v>8142097.120000001</v>
      </c>
      <c r="I36" s="6">
        <f t="shared" si="3"/>
        <v>42669.65</v>
      </c>
      <c r="J36" s="18">
        <f t="shared" si="4"/>
        <v>0.5240621595533117</v>
      </c>
    </row>
    <row r="37" spans="1:10" ht="15">
      <c r="A37" s="23" t="s">
        <v>40</v>
      </c>
      <c r="B37" s="4">
        <f>632622.76+2497.78+35.38-1554</f>
        <v>633601.92</v>
      </c>
      <c r="C37" s="4">
        <v>23859.38</v>
      </c>
      <c r="D37" s="18">
        <f t="shared" si="0"/>
        <v>3.765673563615464</v>
      </c>
      <c r="E37" s="4">
        <f>23882.66+4753.72+3522.83+134.78+3.72+105.06+2.17</f>
        <v>32404.94</v>
      </c>
      <c r="F37" s="4">
        <f>171.27+1.78</f>
        <v>173.05</v>
      </c>
      <c r="G37" s="18">
        <f t="shared" si="1"/>
        <v>0.5340235161675967</v>
      </c>
      <c r="H37" s="6">
        <f t="shared" si="2"/>
        <v>666006.86</v>
      </c>
      <c r="I37" s="6">
        <f t="shared" si="3"/>
        <v>24032.43</v>
      </c>
      <c r="J37" s="18">
        <f t="shared" si="4"/>
        <v>3.608435805000567</v>
      </c>
    </row>
    <row r="38" spans="1:10" ht="15">
      <c r="A38" s="2" t="s">
        <v>41</v>
      </c>
      <c r="B38" s="4">
        <f>164151.51+152.03+3579.88+188.06-1090.86</f>
        <v>166980.62000000002</v>
      </c>
      <c r="C38" s="4">
        <v>6232.01</v>
      </c>
      <c r="D38" s="18">
        <f t="shared" si="0"/>
        <v>3.732175626129547</v>
      </c>
      <c r="E38" s="4">
        <f>18111.28+19.96+3143.49</f>
        <v>21274.729999999996</v>
      </c>
      <c r="F38" s="4">
        <f>78.26+35.78</f>
        <v>114.04</v>
      </c>
      <c r="G38" s="18">
        <f t="shared" si="1"/>
        <v>0.5360350049095807</v>
      </c>
      <c r="H38" s="6">
        <f t="shared" si="2"/>
        <v>188255.35000000003</v>
      </c>
      <c r="I38" s="6">
        <f t="shared" si="3"/>
        <v>6346.05</v>
      </c>
      <c r="J38" s="18">
        <f t="shared" si="4"/>
        <v>3.370979895126486</v>
      </c>
    </row>
    <row r="39" spans="1:10" ht="15">
      <c r="A39" s="2" t="s">
        <v>42</v>
      </c>
      <c r="B39" s="4">
        <f>455844.28+386.74+5984.36+397.36+2482.94</f>
        <v>465095.68</v>
      </c>
      <c r="C39" s="4">
        <v>21051.57</v>
      </c>
      <c r="D39" s="18">
        <f t="shared" si="0"/>
        <v>4.526288010243397</v>
      </c>
      <c r="E39" s="4">
        <f>50459.24+3437.92+3967.43+0.17+3.11</f>
        <v>57867.869999999995</v>
      </c>
      <c r="F39" s="4">
        <f>621.77+7.74</f>
        <v>629.51</v>
      </c>
      <c r="G39" s="18">
        <f t="shared" si="1"/>
        <v>1.0878402816623456</v>
      </c>
      <c r="H39" s="6">
        <f t="shared" si="2"/>
        <v>522963.55</v>
      </c>
      <c r="I39" s="6">
        <f t="shared" si="3"/>
        <v>21681.079999999998</v>
      </c>
      <c r="J39" s="18">
        <f t="shared" si="4"/>
        <v>4.145810926975694</v>
      </c>
    </row>
    <row r="40" spans="1:10" ht="15">
      <c r="A40" s="2" t="s">
        <v>43</v>
      </c>
      <c r="B40" s="4">
        <f>29119383.81+270.11+1640.39+22931.12+196.79-12610.77</f>
        <v>29131811.45</v>
      </c>
      <c r="C40" s="4">
        <v>153959.24</v>
      </c>
      <c r="D40" s="18">
        <f t="shared" si="0"/>
        <v>0.5284918181769984</v>
      </c>
      <c r="E40" s="4">
        <f>4913503.84+727343.77+575274.78+28460.71+4909.63+0.9+179.66+937.16+4366.63+37.65+40.65-178308.44-82980.96-167.14-14053.17</f>
        <v>5979545.670000001</v>
      </c>
      <c r="F40" s="4">
        <f>75308.55+1157.39+6+6.01</f>
        <v>76477.95</v>
      </c>
      <c r="G40" s="18">
        <f t="shared" si="1"/>
        <v>1.2789926563099565</v>
      </c>
      <c r="H40" s="6">
        <f t="shared" si="2"/>
        <v>35111357.12</v>
      </c>
      <c r="I40" s="6">
        <f t="shared" si="3"/>
        <v>230437.19</v>
      </c>
      <c r="J40" s="18">
        <f t="shared" si="4"/>
        <v>0.6563038540846923</v>
      </c>
    </row>
    <row r="41" spans="1:10" ht="15">
      <c r="A41" s="2" t="s">
        <v>44</v>
      </c>
      <c r="B41" s="15">
        <f>599330.13-2790.99</f>
        <v>596539.14</v>
      </c>
      <c r="C41" s="15">
        <v>16022.34</v>
      </c>
      <c r="D41" s="18">
        <f t="shared" si="0"/>
        <v>2.685882438493474</v>
      </c>
      <c r="E41" s="15">
        <f>80095.85+37506.4+17646.95+23.11+9.75</f>
        <v>135282.06</v>
      </c>
      <c r="F41" s="15">
        <f>229.94+3.65</f>
        <v>233.59</v>
      </c>
      <c r="G41" s="18">
        <f t="shared" si="1"/>
        <v>0.1726688668105734</v>
      </c>
      <c r="H41" s="6">
        <f t="shared" si="2"/>
        <v>731821.2</v>
      </c>
      <c r="I41" s="6">
        <f t="shared" si="3"/>
        <v>16255.93</v>
      </c>
      <c r="J41" s="18">
        <f t="shared" si="4"/>
        <v>2.221298043839124</v>
      </c>
    </row>
    <row r="42" spans="1:10" ht="15">
      <c r="A42" s="2" t="s">
        <v>45</v>
      </c>
      <c r="B42" s="4">
        <f>1226285.94+30.5+162871.48+805.2-11768.9</f>
        <v>1378224.22</v>
      </c>
      <c r="C42" s="4">
        <v>129276.64</v>
      </c>
      <c r="D42" s="18">
        <f t="shared" si="0"/>
        <v>9.379942546648905</v>
      </c>
      <c r="E42" s="4">
        <f>606275.41+255069.54+55213.96+375.71</f>
        <v>916934.62</v>
      </c>
      <c r="F42" s="4">
        <f>33408.94+438.44+506.98</f>
        <v>34354.36000000001</v>
      </c>
      <c r="G42" s="18">
        <f t="shared" si="1"/>
        <v>3.746653169230322</v>
      </c>
      <c r="H42" s="6">
        <f t="shared" si="2"/>
        <v>2295158.84</v>
      </c>
      <c r="I42" s="6">
        <f t="shared" si="3"/>
        <v>163631</v>
      </c>
      <c r="J42" s="18">
        <f t="shared" si="4"/>
        <v>7.129397632453186</v>
      </c>
    </row>
    <row r="43" spans="1:10" ht="15">
      <c r="A43" s="2" t="s">
        <v>46</v>
      </c>
      <c r="B43" s="15">
        <f>3507387.21+360.14+760.63+151.89-2833.69</f>
        <v>3505826.18</v>
      </c>
      <c r="C43" s="6">
        <v>46037.9</v>
      </c>
      <c r="D43" s="18">
        <f t="shared" si="0"/>
        <v>1.3131826176276657</v>
      </c>
      <c r="E43" s="15">
        <f>512299.73+365833.45+86685.46+230.44+18.8</f>
        <v>965067.8799999999</v>
      </c>
      <c r="F43" s="15">
        <f>4475.76+446.93</f>
        <v>4922.6900000000005</v>
      </c>
      <c r="G43" s="18">
        <f t="shared" si="1"/>
        <v>0.5100874355076455</v>
      </c>
      <c r="H43" s="6">
        <f t="shared" si="2"/>
        <v>4470894.0600000005</v>
      </c>
      <c r="I43" s="6">
        <f t="shared" si="3"/>
        <v>50960.590000000004</v>
      </c>
      <c r="J43" s="18">
        <f t="shared" si="4"/>
        <v>1.1398299605426123</v>
      </c>
    </row>
    <row r="44" spans="1:10" ht="15">
      <c r="A44" s="2" t="s">
        <v>47</v>
      </c>
      <c r="B44" s="4">
        <f>233436.04+49.41+167.65-1015.51</f>
        <v>232637.59</v>
      </c>
      <c r="C44" s="4">
        <v>5075.07</v>
      </c>
      <c r="D44" s="18">
        <f t="shared" si="0"/>
        <v>2.181534806993143</v>
      </c>
      <c r="E44" s="4">
        <f>88633.71+47127.28+34401.67+389.6+47.27</f>
        <v>170599.52999999997</v>
      </c>
      <c r="F44" s="4">
        <f>106.13+43.75</f>
        <v>149.88</v>
      </c>
      <c r="G44" s="18">
        <f t="shared" si="1"/>
        <v>0.08785487275375262</v>
      </c>
      <c r="H44" s="6">
        <f t="shared" si="2"/>
        <v>403237.12</v>
      </c>
      <c r="I44" s="6">
        <f t="shared" si="3"/>
        <v>5224.95</v>
      </c>
      <c r="J44" s="18">
        <f t="shared" si="4"/>
        <v>1.295751244329887</v>
      </c>
    </row>
    <row r="45" spans="1:10" ht="15">
      <c r="A45" s="2" t="s">
        <v>48</v>
      </c>
      <c r="B45" s="16">
        <f>483534.82+2361.97+208.75-1343.59</f>
        <v>484761.94999999995</v>
      </c>
      <c r="C45" s="15">
        <v>15548.14</v>
      </c>
      <c r="D45" s="18">
        <f t="shared" si="0"/>
        <v>3.207376321512033</v>
      </c>
      <c r="E45" s="15">
        <f>11418.24+125136.2+321939.28+61451.48+2503.97+0.27+15.72-1198.12-1060.78</f>
        <v>520206.25999999995</v>
      </c>
      <c r="F45" s="15">
        <f>18.56+0.05</f>
        <v>18.61</v>
      </c>
      <c r="G45" s="18">
        <f t="shared" si="1"/>
        <v>0.003577427153606341</v>
      </c>
      <c r="H45" s="6">
        <f t="shared" si="2"/>
        <v>1004968.21</v>
      </c>
      <c r="I45" s="6">
        <f t="shared" si="3"/>
        <v>15566.75</v>
      </c>
      <c r="J45" s="18">
        <f t="shared" si="4"/>
        <v>1.5489793453267542</v>
      </c>
    </row>
    <row r="46" spans="1:10" ht="15">
      <c r="A46" s="2" t="s">
        <v>49</v>
      </c>
      <c r="B46" s="15">
        <f>824932.65+587.67+88.99+104.43-2563.22</f>
        <v>823150.5200000001</v>
      </c>
      <c r="C46" s="15">
        <v>14664.36</v>
      </c>
      <c r="D46" s="18">
        <f t="shared" si="0"/>
        <v>1.781491919606635</v>
      </c>
      <c r="E46" s="15">
        <f>37990.8+12418.29+5345.56+29.47+4.65+57.11+117.84+20.28+363.82+2.56-1072.46</f>
        <v>55277.92</v>
      </c>
      <c r="F46" s="15">
        <f>1090.36+4.81+4.47</f>
        <v>1099.6399999999999</v>
      </c>
      <c r="G46" s="18">
        <f t="shared" si="1"/>
        <v>1.9892933742803636</v>
      </c>
      <c r="H46" s="6">
        <f t="shared" si="2"/>
        <v>878428.4400000002</v>
      </c>
      <c r="I46" s="6">
        <f t="shared" si="3"/>
        <v>15764</v>
      </c>
      <c r="J46" s="18">
        <f t="shared" si="4"/>
        <v>1.7945684909746316</v>
      </c>
    </row>
    <row r="47" spans="1:10" ht="15">
      <c r="A47" s="2" t="s">
        <v>50</v>
      </c>
      <c r="B47" s="4">
        <f>1223636.18+15.86-1057.86</f>
        <v>1222594.18</v>
      </c>
      <c r="C47" s="4">
        <v>24151.85</v>
      </c>
      <c r="D47" s="18">
        <f t="shared" si="0"/>
        <v>1.975459264823263</v>
      </c>
      <c r="E47" s="4">
        <f>90+134951.36+52190.68+33252.44+0.93+29.6-443.32</f>
        <v>220071.68999999997</v>
      </c>
      <c r="F47" s="4">
        <f>1423.14+3.39+47.37</f>
        <v>1473.9</v>
      </c>
      <c r="G47" s="18">
        <f t="shared" si="1"/>
        <v>0.6697363027475275</v>
      </c>
      <c r="H47" s="6">
        <f t="shared" si="2"/>
        <v>1442665.8699999999</v>
      </c>
      <c r="I47" s="6">
        <f t="shared" si="3"/>
        <v>25625.75</v>
      </c>
      <c r="J47" s="18">
        <f t="shared" si="4"/>
        <v>1.776277552057151</v>
      </c>
    </row>
    <row r="48" spans="1:10" ht="15">
      <c r="A48" s="2" t="s">
        <v>51</v>
      </c>
      <c r="B48" s="4">
        <f>1711528.27+429.03+1406.47-6029.12</f>
        <v>1707334.65</v>
      </c>
      <c r="C48" s="4">
        <v>33154.87</v>
      </c>
      <c r="D48" s="18">
        <f t="shared" si="0"/>
        <v>1.9419081080560279</v>
      </c>
      <c r="E48" s="4">
        <f>348315.4+53185.74+76034.01+1922.46+74.82+2168.99+818.03+4.54+2.29-474.73-31.05</f>
        <v>482020.50000000006</v>
      </c>
      <c r="F48" s="4">
        <f>66.02+5088.19+212.79+1.61</f>
        <v>5368.61</v>
      </c>
      <c r="G48" s="18">
        <f t="shared" si="1"/>
        <v>1.113772132098116</v>
      </c>
      <c r="H48" s="6">
        <f t="shared" si="2"/>
        <v>2189355.15</v>
      </c>
      <c r="I48" s="6">
        <f t="shared" si="3"/>
        <v>38523.48</v>
      </c>
      <c r="J48" s="18">
        <f t="shared" si="4"/>
        <v>1.759581125976752</v>
      </c>
    </row>
    <row r="49" spans="1:10" ht="15">
      <c r="A49" s="2" t="s">
        <v>52</v>
      </c>
      <c r="B49" s="4">
        <f>1263672.43+1387.06+171.41+16.71-5527.1</f>
        <v>1259720.5099999998</v>
      </c>
      <c r="C49" s="4">
        <v>28197.9</v>
      </c>
      <c r="D49" s="18">
        <f t="shared" si="0"/>
        <v>2.238425093197856</v>
      </c>
      <c r="E49" s="4">
        <f>3120+169602.63+105020.6+52742.29+102.96+7.01</f>
        <v>330595.49</v>
      </c>
      <c r="F49" s="4">
        <f>452.15+279.58</f>
        <v>731.73</v>
      </c>
      <c r="G49" s="18">
        <f t="shared" si="1"/>
        <v>0.22133695774252696</v>
      </c>
      <c r="H49" s="6">
        <f t="shared" si="2"/>
        <v>1590315.9999999998</v>
      </c>
      <c r="I49" s="6">
        <f t="shared" si="3"/>
        <v>28929.63</v>
      </c>
      <c r="J49" s="18">
        <f t="shared" si="4"/>
        <v>1.819112050686782</v>
      </c>
    </row>
    <row r="50" spans="1:10" ht="15">
      <c r="A50" s="2" t="s">
        <v>53</v>
      </c>
      <c r="B50" s="4">
        <f>386701.66+133.96+1979.16+415.62-1254.62</f>
        <v>387975.77999999997</v>
      </c>
      <c r="C50" s="4">
        <v>10893.21</v>
      </c>
      <c r="D50" s="18">
        <f t="shared" si="0"/>
        <v>2.80770361490091</v>
      </c>
      <c r="E50" s="4">
        <f>30844.23+5777.84+4791.12+0.6</f>
        <v>41413.79</v>
      </c>
      <c r="F50" s="4">
        <f>262.29+126.07</f>
        <v>388.36</v>
      </c>
      <c r="G50" s="18">
        <f t="shared" si="1"/>
        <v>0.9377552742697541</v>
      </c>
      <c r="H50" s="6">
        <f t="shared" si="2"/>
        <v>429389.56999999995</v>
      </c>
      <c r="I50" s="6">
        <f t="shared" si="3"/>
        <v>11281.57</v>
      </c>
      <c r="J50" s="18">
        <f t="shared" si="4"/>
        <v>2.6273507295484615</v>
      </c>
    </row>
    <row r="51" spans="1:10" ht="15">
      <c r="A51" s="2" t="s">
        <v>54</v>
      </c>
      <c r="B51" s="15">
        <f>1571762.43+533.77+37907.98+3104.62-10704.9</f>
        <v>1602603.9000000001</v>
      </c>
      <c r="C51" s="15">
        <v>59344.27</v>
      </c>
      <c r="D51" s="18">
        <f t="shared" si="0"/>
        <v>3.702990489415382</v>
      </c>
      <c r="E51" s="15">
        <f>206521.96+172381.14+66529.52+89.41+3.53+366.42+1408.66-69.79-122.14</f>
        <v>447108.70999999996</v>
      </c>
      <c r="F51" s="15">
        <f>5278.05+180.79+0.3</f>
        <v>5459.14</v>
      </c>
      <c r="G51" s="18">
        <f t="shared" si="1"/>
        <v>1.2209871733431454</v>
      </c>
      <c r="H51" s="6">
        <f t="shared" si="2"/>
        <v>2049712.61</v>
      </c>
      <c r="I51" s="6">
        <f t="shared" si="3"/>
        <v>64803.409999999996</v>
      </c>
      <c r="J51" s="18">
        <f t="shared" si="4"/>
        <v>3.1615851746162598</v>
      </c>
    </row>
    <row r="52" spans="1:10" ht="15">
      <c r="A52" s="2" t="s">
        <v>55</v>
      </c>
      <c r="B52" s="15">
        <f>426725.65+1371.97+74.55-457.26</f>
        <v>427714.91</v>
      </c>
      <c r="C52" s="15">
        <v>5400.05</v>
      </c>
      <c r="D52" s="18">
        <f t="shared" si="0"/>
        <v>1.2625348973689041</v>
      </c>
      <c r="E52" s="15">
        <f>57000+381953.26+791276.23+85267.44+1053.99+12.72</f>
        <v>1316563.64</v>
      </c>
      <c r="F52" s="15">
        <f>31.34+0.1</f>
        <v>31.44</v>
      </c>
      <c r="G52" s="18">
        <f t="shared" si="1"/>
        <v>0.0023880349604672364</v>
      </c>
      <c r="H52" s="6">
        <f t="shared" si="2"/>
        <v>1744278.5499999998</v>
      </c>
      <c r="I52" s="6">
        <f t="shared" si="3"/>
        <v>5431.49</v>
      </c>
      <c r="J52" s="18">
        <f t="shared" si="4"/>
        <v>0.3113889120519197</v>
      </c>
    </row>
    <row r="53" spans="1:10" ht="15">
      <c r="A53" s="23" t="s">
        <v>56</v>
      </c>
      <c r="B53" s="4">
        <f>6930030.36+4409.08+2077.75+212.89-9870.9</f>
        <v>6926859.18</v>
      </c>
      <c r="C53" s="4">
        <v>96912.22</v>
      </c>
      <c r="D53" s="18">
        <f t="shared" si="0"/>
        <v>1.3990788246398278</v>
      </c>
      <c r="E53" s="4">
        <f>2439+912956.05+958503.54+202114.6+286.8</f>
        <v>2076299.9900000002</v>
      </c>
      <c r="F53" s="4">
        <f>16432.97+131.81+2500.67+3.15</f>
        <v>19068.600000000006</v>
      </c>
      <c r="G53" s="18">
        <f t="shared" si="1"/>
        <v>0.9183933001897286</v>
      </c>
      <c r="H53" s="6">
        <f t="shared" si="2"/>
        <v>9003159.17</v>
      </c>
      <c r="I53" s="6">
        <f t="shared" si="3"/>
        <v>115980.82</v>
      </c>
      <c r="J53" s="18">
        <f t="shared" si="4"/>
        <v>1.2882235869656407</v>
      </c>
    </row>
    <row r="54" spans="1:10" ht="15">
      <c r="A54" s="2" t="s">
        <v>57</v>
      </c>
      <c r="B54" s="4">
        <f>705677.99+57552.85+1287.35-13796.38</f>
        <v>750721.8099999999</v>
      </c>
      <c r="C54" s="4">
        <v>54919.65</v>
      </c>
      <c r="D54" s="18">
        <f t="shared" si="0"/>
        <v>7.315579388855108</v>
      </c>
      <c r="E54" s="4">
        <f>525383.78+165801.69+19815.64+25.65</f>
        <v>711026.76</v>
      </c>
      <c r="F54" s="4">
        <f>64921.19+150982.42+993.19</f>
        <v>216896.80000000002</v>
      </c>
      <c r="G54" s="18">
        <f t="shared" si="1"/>
        <v>30.504730933052365</v>
      </c>
      <c r="H54" s="6">
        <f t="shared" si="2"/>
        <v>1461748.5699999998</v>
      </c>
      <c r="I54" s="6">
        <f t="shared" si="3"/>
        <v>271816.45</v>
      </c>
      <c r="J54" s="18">
        <f t="shared" si="4"/>
        <v>18.595294401416794</v>
      </c>
    </row>
    <row r="55" spans="1:10" ht="15">
      <c r="A55" s="2" t="s">
        <v>58</v>
      </c>
      <c r="B55" s="15">
        <f>965172.27+90.04+20.13-2353.93</f>
        <v>962928.51</v>
      </c>
      <c r="C55" s="15">
        <v>11573.71</v>
      </c>
      <c r="D55" s="18">
        <f t="shared" si="0"/>
        <v>1.2019282719129376</v>
      </c>
      <c r="E55" s="15">
        <f>114921.09+115797.06+24156.93+1713.56+0.56-178.17</f>
        <v>256411.02999999997</v>
      </c>
      <c r="F55" s="15">
        <f>347.2+12.5</f>
        <v>359.7</v>
      </c>
      <c r="G55" s="18">
        <f t="shared" si="1"/>
        <v>0.1402825767674659</v>
      </c>
      <c r="H55" s="6">
        <f t="shared" si="2"/>
        <v>1219339.54</v>
      </c>
      <c r="I55" s="6">
        <f t="shared" si="3"/>
        <v>11933.41</v>
      </c>
      <c r="J55" s="18">
        <f t="shared" si="4"/>
        <v>0.9786781785162154</v>
      </c>
    </row>
    <row r="56" spans="1:10" ht="15">
      <c r="A56" s="2" t="s">
        <v>59</v>
      </c>
      <c r="B56" s="15">
        <f>790842.08+12.2+2463.94+281.21-2923.97</f>
        <v>790675.4599999998</v>
      </c>
      <c r="C56" s="15">
        <v>15701.11</v>
      </c>
      <c r="D56" s="18">
        <f t="shared" si="0"/>
        <v>1.9857844076759386</v>
      </c>
      <c r="E56" s="15">
        <f>2205.37+76026.7+284777.64+55052.85+747.83+11.86</f>
        <v>418822.25</v>
      </c>
      <c r="F56" s="15">
        <f>541.5+73.45+875.1</f>
        <v>1490.0500000000002</v>
      </c>
      <c r="G56" s="18">
        <f t="shared" si="1"/>
        <v>0.35577145197037646</v>
      </c>
      <c r="H56" s="6">
        <f t="shared" si="2"/>
        <v>1209497.71</v>
      </c>
      <c r="I56" s="6">
        <f t="shared" si="3"/>
        <v>17191.16</v>
      </c>
      <c r="J56" s="18">
        <f t="shared" si="4"/>
        <v>1.4213470482717987</v>
      </c>
    </row>
    <row r="57" spans="1:10" ht="15">
      <c r="A57" s="2" t="s">
        <v>60</v>
      </c>
      <c r="B57" s="4">
        <f>2545883.24+46769.72+24.64-2784.86</f>
        <v>2589892.7400000007</v>
      </c>
      <c r="C57" s="4">
        <v>34468.11</v>
      </c>
      <c r="D57" s="18">
        <f t="shared" si="0"/>
        <v>1.3308701734111195</v>
      </c>
      <c r="E57" s="4">
        <f>22310.49+586170.94+462273.96+154938.86+6401.66+40.77+724.93-316.99-48.32</f>
        <v>1232496.2999999998</v>
      </c>
      <c r="F57" s="4">
        <f>3727.4+390.98+104.55+2.25</f>
        <v>4225.18</v>
      </c>
      <c r="G57" s="18">
        <f t="shared" si="1"/>
        <v>0.34281482224327986</v>
      </c>
      <c r="H57" s="6">
        <f t="shared" si="2"/>
        <v>3822389.0400000005</v>
      </c>
      <c r="I57" s="6">
        <f t="shared" si="3"/>
        <v>38693.29</v>
      </c>
      <c r="J57" s="18">
        <f t="shared" si="4"/>
        <v>1.0122802675260913</v>
      </c>
    </row>
    <row r="58" spans="1:10" ht="15">
      <c r="A58" s="2" t="s">
        <v>61</v>
      </c>
      <c r="B58" s="15">
        <f>837108.65+225.09+496.88+57.83-3148.21</f>
        <v>834740.24</v>
      </c>
      <c r="C58" s="15">
        <v>16213.19</v>
      </c>
      <c r="D58" s="18">
        <f>C58/B58*100</f>
        <v>1.9423036320855938</v>
      </c>
      <c r="E58" s="15">
        <f>88519.31+40619.91+35861.18+34.57+20.79+534.2+1-1364.58-186.58</f>
        <v>164039.80000000005</v>
      </c>
      <c r="F58" s="15">
        <f>2651.17+0.18+0.4</f>
        <v>2651.75</v>
      </c>
      <c r="G58" s="18">
        <f t="shared" si="1"/>
        <v>1.6165284278571415</v>
      </c>
      <c r="H58" s="6">
        <f t="shared" si="2"/>
        <v>998780.04</v>
      </c>
      <c r="I58" s="6">
        <f t="shared" si="3"/>
        <v>18864.940000000002</v>
      </c>
      <c r="J58" s="18">
        <f t="shared" si="4"/>
        <v>1.8887982583232241</v>
      </c>
    </row>
    <row r="59" spans="1:10" ht="15">
      <c r="A59" s="2" t="s">
        <v>62</v>
      </c>
      <c r="B59" s="4">
        <f>232749.59+0.71+79.91-1435.6</f>
        <v>231394.61</v>
      </c>
      <c r="C59" s="4">
        <v>4027.94</v>
      </c>
      <c r="D59" s="18">
        <f t="shared" si="0"/>
        <v>1.7407233470131394</v>
      </c>
      <c r="E59" s="8">
        <f>49564.48+510.09+10574.36+541.07+28.27-6.84</f>
        <v>61211.43</v>
      </c>
      <c r="F59" s="4">
        <v>1.49</v>
      </c>
      <c r="G59" s="18">
        <f t="shared" si="1"/>
        <v>0.0024341859028616064</v>
      </c>
      <c r="H59" s="6">
        <f t="shared" si="2"/>
        <v>292606.04</v>
      </c>
      <c r="I59" s="6">
        <f t="shared" si="3"/>
        <v>4029.43</v>
      </c>
      <c r="J59" s="18">
        <f t="shared" si="4"/>
        <v>1.377083671957011</v>
      </c>
    </row>
    <row r="60" spans="1:10" ht="15">
      <c r="A60" s="2" t="s">
        <v>63</v>
      </c>
      <c r="B60" s="4">
        <f>2169220.15+108.34+17182.55+3775.43-11636.24</f>
        <v>2178650.2299999995</v>
      </c>
      <c r="C60" s="4">
        <v>37011.48</v>
      </c>
      <c r="D60" s="18">
        <f t="shared" si="0"/>
        <v>1.6988261580657675</v>
      </c>
      <c r="E60" s="4">
        <f>1108025.73+227983.94+92408.69+1377.12+42.07+184.45+7.8+3699.8-52.2</f>
        <v>1433677.4000000001</v>
      </c>
      <c r="F60" s="4">
        <f>3121.94+3017.04+651.47</f>
        <v>6790.45</v>
      </c>
      <c r="G60" s="18">
        <f t="shared" si="1"/>
        <v>0.4736386302804242</v>
      </c>
      <c r="H60" s="6">
        <f t="shared" si="2"/>
        <v>3612327.63</v>
      </c>
      <c r="I60" s="6">
        <f t="shared" si="3"/>
        <v>43801.93</v>
      </c>
      <c r="J60" s="18">
        <f t="shared" si="4"/>
        <v>1.2125680305471074</v>
      </c>
    </row>
    <row r="61" spans="1:10" ht="15">
      <c r="A61" s="2" t="s">
        <v>64</v>
      </c>
      <c r="B61" s="4">
        <f>298509.55+30.5+344.43+489.07-2962.34</f>
        <v>296411.20999999996</v>
      </c>
      <c r="C61" s="4">
        <f>15262.99</f>
        <v>15262.99</v>
      </c>
      <c r="D61" s="18">
        <f t="shared" si="0"/>
        <v>5.149262067382675</v>
      </c>
      <c r="E61" s="4">
        <f>19780.54+5752.88+3417.33+1.48+14.68-27.84-45.91</f>
        <v>28893.16</v>
      </c>
      <c r="F61" s="4">
        <f>714.05+49.08</f>
        <v>763.13</v>
      </c>
      <c r="G61" s="18">
        <f t="shared" si="1"/>
        <v>2.64121335291813</v>
      </c>
      <c r="H61" s="6">
        <f t="shared" si="2"/>
        <v>325304.36999999994</v>
      </c>
      <c r="I61" s="6">
        <f t="shared" si="3"/>
        <v>16026.119999999999</v>
      </c>
      <c r="J61" s="18">
        <f t="shared" si="4"/>
        <v>4.926500065154367</v>
      </c>
    </row>
    <row r="62" spans="1:10" ht="15">
      <c r="A62" s="2" t="s">
        <v>65</v>
      </c>
      <c r="B62" s="4">
        <f>67898368.31+25798.53+2883.44+800.63+308.37-305922.1</f>
        <v>67622237.18</v>
      </c>
      <c r="C62" s="4">
        <v>744476.69</v>
      </c>
      <c r="D62" s="18">
        <f t="shared" si="0"/>
        <v>1.1009347236151288</v>
      </c>
      <c r="E62" s="4">
        <f>33304.4+12259870.91+3968734.28+1825118.36+28323.82+17413.09+35571.42+21382.09+17554.51+1.79-22298.34-1053.76-4703-33-47.76</f>
        <v>18179138.81</v>
      </c>
      <c r="F62" s="4">
        <f>1680+118020.43+7018.41+32308.41+55.88</f>
        <v>159083.13</v>
      </c>
      <c r="G62" s="18">
        <f t="shared" si="1"/>
        <v>0.8750861724675947</v>
      </c>
      <c r="H62" s="6">
        <f t="shared" si="2"/>
        <v>85801375.99000001</v>
      </c>
      <c r="I62" s="6">
        <f t="shared" si="3"/>
        <v>903559.82</v>
      </c>
      <c r="J62" s="18">
        <f t="shared" si="4"/>
        <v>1.053083134826775</v>
      </c>
    </row>
    <row r="63" spans="1:10" ht="15">
      <c r="A63" s="2" t="s">
        <v>66</v>
      </c>
      <c r="B63" s="4">
        <f>4146889.82+296.1+211.37-3495.13</f>
        <v>4143902.16</v>
      </c>
      <c r="C63" s="4">
        <v>48078.33</v>
      </c>
      <c r="D63" s="18">
        <f t="shared" si="0"/>
        <v>1.1602187538134345</v>
      </c>
      <c r="E63" s="4">
        <f>461631.98+179411.34+101086.2+3141.75+55.72+416.02+6277.97+333.01-9.02</f>
        <v>752344.9699999999</v>
      </c>
      <c r="F63" s="4">
        <f>10890.41+230.38+0.01</f>
        <v>11120.8</v>
      </c>
      <c r="G63" s="18">
        <f t="shared" si="1"/>
        <v>1.4781517047957402</v>
      </c>
      <c r="H63" s="6">
        <f t="shared" si="2"/>
        <v>4896247.13</v>
      </c>
      <c r="I63" s="6">
        <f t="shared" si="3"/>
        <v>59199.130000000005</v>
      </c>
      <c r="J63" s="18">
        <f t="shared" si="4"/>
        <v>1.209071528217572</v>
      </c>
    </row>
    <row r="64" spans="1:10" ht="15">
      <c r="A64" s="2" t="s">
        <v>67</v>
      </c>
      <c r="B64" s="4">
        <f>861977.67+2.29+9085.01+574.98-4791.15</f>
        <v>866848.8</v>
      </c>
      <c r="C64" s="4">
        <v>40282.48</v>
      </c>
      <c r="D64" s="18">
        <f t="shared" si="0"/>
        <v>4.647001876221089</v>
      </c>
      <c r="E64" s="4">
        <f>242992.31+4326.88+23814.22+89.28</f>
        <v>271222.69000000006</v>
      </c>
      <c r="F64" s="4">
        <f>12112.09+2270.44+815.66</f>
        <v>15198.19</v>
      </c>
      <c r="G64" s="18">
        <f t="shared" si="1"/>
        <v>5.603583534991116</v>
      </c>
      <c r="H64" s="6">
        <f t="shared" si="2"/>
        <v>1138071.4900000002</v>
      </c>
      <c r="I64" s="6">
        <f t="shared" si="3"/>
        <v>55480.670000000006</v>
      </c>
      <c r="J64" s="18">
        <f t="shared" si="4"/>
        <v>4.8749723095163375</v>
      </c>
    </row>
    <row r="65" spans="1:10" ht="15">
      <c r="A65" s="2" t="s">
        <v>68</v>
      </c>
      <c r="B65" s="15">
        <f>12155247.37+1106.3-8618.69</f>
        <v>12147734.98</v>
      </c>
      <c r="C65" s="15">
        <v>142429.27</v>
      </c>
      <c r="D65" s="18">
        <f t="shared" si="0"/>
        <v>1.1724759408605405</v>
      </c>
      <c r="E65" s="15">
        <f>171+1321300.19+496325.7+252502.92+5.2+0.69+710.2+2664-3173.72-17.17-10723.73</f>
        <v>2059765.2799999998</v>
      </c>
      <c r="F65" s="15">
        <f>9457.09+325.62+338.22</f>
        <v>10120.93</v>
      </c>
      <c r="G65" s="18">
        <f t="shared" si="1"/>
        <v>0.49136326834288624</v>
      </c>
      <c r="H65" s="6">
        <f t="shared" si="2"/>
        <v>14207500.26</v>
      </c>
      <c r="I65" s="6">
        <f t="shared" si="3"/>
        <v>152550.19999999998</v>
      </c>
      <c r="J65" s="18">
        <f t="shared" si="4"/>
        <v>1.073730052495526</v>
      </c>
    </row>
    <row r="66" spans="1:10" ht="15">
      <c r="A66" s="2" t="s">
        <v>69</v>
      </c>
      <c r="B66" s="4">
        <f>368334.24+216748.65+688.09-31258.33</f>
        <v>554512.65</v>
      </c>
      <c r="C66" s="4">
        <v>53018.44</v>
      </c>
      <c r="D66" s="18">
        <f t="shared" si="0"/>
        <v>9.561267898937924</v>
      </c>
      <c r="E66" s="4">
        <f>358786.57+17223.25+2475.53+13.5</f>
        <v>378498.85000000003</v>
      </c>
      <c r="F66" s="4">
        <f>203215.89+8708.54+52.14</f>
        <v>211976.57000000004</v>
      </c>
      <c r="G66" s="18">
        <f t="shared" si="1"/>
        <v>56.00454796626199</v>
      </c>
      <c r="H66" s="6">
        <f t="shared" si="2"/>
        <v>933011.5</v>
      </c>
      <c r="I66" s="6">
        <f t="shared" si="3"/>
        <v>264995.01</v>
      </c>
      <c r="J66" s="18">
        <f t="shared" si="4"/>
        <v>28.402116158268147</v>
      </c>
    </row>
    <row r="67" spans="1:10" ht="15">
      <c r="A67" s="2" t="s">
        <v>70</v>
      </c>
      <c r="B67" s="4">
        <f>1004837.27+195.93+39172.04+945.01-5023.07</f>
        <v>1040127.1800000002</v>
      </c>
      <c r="C67" s="4">
        <v>49154.04</v>
      </c>
      <c r="D67" s="18">
        <f t="shared" si="0"/>
        <v>4.725772092601214</v>
      </c>
      <c r="E67" s="4">
        <f>214851.91+69470.28+31940.85+0.68+0.42+296.59+48.96+24.77-627.24-32.41</f>
        <v>315974.81000000006</v>
      </c>
      <c r="F67" s="4">
        <f>1755.66-265.87</f>
        <v>1489.79</v>
      </c>
      <c r="G67" s="18">
        <f t="shared" si="1"/>
        <v>0.47149011656973533</v>
      </c>
      <c r="H67" s="6">
        <f t="shared" si="2"/>
        <v>1356101.9900000002</v>
      </c>
      <c r="I67" s="6">
        <f t="shared" si="3"/>
        <v>50643.83</v>
      </c>
      <c r="J67" s="18">
        <f t="shared" si="4"/>
        <v>3.734514835421781</v>
      </c>
    </row>
    <row r="68" spans="1:10" ht="15">
      <c r="A68" s="2" t="s">
        <v>71</v>
      </c>
      <c r="B68" s="4">
        <f>678085.89+1708.66+49070.46-2810.51</f>
        <v>726054.5</v>
      </c>
      <c r="C68" s="4">
        <f>16374.61</f>
        <v>16374.61</v>
      </c>
      <c r="D68" s="18">
        <f t="shared" si="0"/>
        <v>2.2552866210456655</v>
      </c>
      <c r="E68" s="4">
        <f>50901.99+15009.18+12033.9+5.67+12.77</f>
        <v>77963.51</v>
      </c>
      <c r="F68" s="4">
        <f>615.54+106.68</f>
        <v>722.22</v>
      </c>
      <c r="G68" s="18">
        <f t="shared" si="1"/>
        <v>0.9263564454704516</v>
      </c>
      <c r="H68" s="6">
        <f t="shared" si="2"/>
        <v>804018.01</v>
      </c>
      <c r="I68" s="6">
        <f t="shared" si="3"/>
        <v>17096.83</v>
      </c>
      <c r="J68" s="18">
        <f t="shared" si="4"/>
        <v>2.126423760084678</v>
      </c>
    </row>
    <row r="69" spans="1:10" ht="15">
      <c r="A69" s="2" t="s">
        <v>72</v>
      </c>
      <c r="B69" s="4">
        <f>2808524.96+620.86+264.21+2491.37-14936.28</f>
        <v>2796965.12</v>
      </c>
      <c r="C69" s="4">
        <v>76311.24</v>
      </c>
      <c r="D69" s="18">
        <f t="shared" si="0"/>
        <v>2.728358657543788</v>
      </c>
      <c r="E69" s="4">
        <v>1194638</v>
      </c>
      <c r="F69" s="4">
        <f>5299.69+356.68+167.37+10.5</f>
        <v>5834.24</v>
      </c>
      <c r="G69" s="18">
        <f>F69/E69*100</f>
        <v>0.48836886152960146</v>
      </c>
      <c r="H69" s="6">
        <f t="shared" si="2"/>
        <v>3991603.12</v>
      </c>
      <c r="I69" s="6">
        <f t="shared" si="3"/>
        <v>82145.48000000001</v>
      </c>
      <c r="J69" s="18">
        <f t="shared" si="4"/>
        <v>2.0579571047133567</v>
      </c>
    </row>
    <row r="70" spans="1:10" ht="15">
      <c r="A70" s="2" t="s">
        <v>73</v>
      </c>
      <c r="B70" s="4">
        <f>537598.23+324.28-5525.3</f>
        <v>532397.21</v>
      </c>
      <c r="C70" s="4">
        <v>38061.68</v>
      </c>
      <c r="D70" s="18">
        <f t="shared" si="0"/>
        <v>7.149113347156723</v>
      </c>
      <c r="E70" s="4">
        <f>660.63+175118.84+12178.29+10018.9+71.62+0.13+24.4+111117.96+17954.29-24.4-893.96</f>
        <v>326226.69999999995</v>
      </c>
      <c r="F70" s="4">
        <f>1364.07+893.39+5.18+12289.26+1960.57</f>
        <v>16512.47</v>
      </c>
      <c r="G70" s="18">
        <f t="shared" si="1"/>
        <v>5.061654977964711</v>
      </c>
      <c r="H70" s="6">
        <f t="shared" si="2"/>
        <v>858623.9099999999</v>
      </c>
      <c r="I70" s="6">
        <f t="shared" si="3"/>
        <v>54574.15</v>
      </c>
      <c r="J70" s="18">
        <f t="shared" si="4"/>
        <v>6.356001663172879</v>
      </c>
    </row>
    <row r="71" spans="1:10" ht="15">
      <c r="A71" s="2" t="s">
        <v>74</v>
      </c>
      <c r="B71" s="4">
        <f>219443.68+59333.16+48.56-19396.68</f>
        <v>259428.71999999997</v>
      </c>
      <c r="C71" s="4">
        <f>13570.13+12.2</f>
        <v>13582.33</v>
      </c>
      <c r="D71" s="18">
        <f t="shared" si="0"/>
        <v>5.235476627260082</v>
      </c>
      <c r="E71" s="4">
        <f>38731.59+1122.53+3785.91+6</f>
        <v>43646.03</v>
      </c>
      <c r="F71" s="4">
        <f>3950.52+102.8+18.44</f>
        <v>4071.76</v>
      </c>
      <c r="G71" s="18">
        <f t="shared" si="1"/>
        <v>9.329050087717029</v>
      </c>
      <c r="H71" s="6">
        <f t="shared" si="2"/>
        <v>303074.75</v>
      </c>
      <c r="I71" s="6">
        <f t="shared" si="3"/>
        <v>17654.09</v>
      </c>
      <c r="J71" s="18">
        <f t="shared" si="4"/>
        <v>5.824995318811613</v>
      </c>
    </row>
    <row r="72" spans="1:10" ht="15">
      <c r="A72" s="2" t="s">
        <v>75</v>
      </c>
      <c r="B72" s="4">
        <f>245011.43+83416.68+152.09-28045.04</f>
        <v>300535.16000000003</v>
      </c>
      <c r="C72" s="4">
        <v>26929.42</v>
      </c>
      <c r="D72" s="18">
        <f aca="true" t="shared" si="5" ref="D72:D126">C72/B72*100</f>
        <v>8.96048901566126</v>
      </c>
      <c r="E72" s="4">
        <f>119828.81+4559.84+1952.41</f>
        <v>126341.06</v>
      </c>
      <c r="F72" s="4">
        <f>1226.43+25.91</f>
        <v>1252.3400000000001</v>
      </c>
      <c r="G72" s="18">
        <f aca="true" t="shared" si="6" ref="G72:G126">F72/E72*100</f>
        <v>0.9912375280055433</v>
      </c>
      <c r="H72" s="6">
        <f aca="true" t="shared" si="7" ref="H72:H126">B72+E72</f>
        <v>426876.22000000003</v>
      </c>
      <c r="I72" s="6">
        <f aca="true" t="shared" si="8" ref="I72:I126">C72+F72</f>
        <v>28181.76</v>
      </c>
      <c r="J72" s="18">
        <f aca="true" t="shared" si="9" ref="J72:J126">I72/H72*100</f>
        <v>6.601857559552039</v>
      </c>
    </row>
    <row r="73" spans="1:10" ht="15">
      <c r="A73" s="2" t="s">
        <v>76</v>
      </c>
      <c r="B73" s="4">
        <f>459650.97+37.21+220196.49+640.01-19462.84</f>
        <v>661061.84</v>
      </c>
      <c r="C73" s="4">
        <v>39725.25</v>
      </c>
      <c r="D73" s="18">
        <f t="shared" si="5"/>
        <v>6.009309204718276</v>
      </c>
      <c r="E73" s="4">
        <f>379432.53+48457.84+12536.85</f>
        <v>440427.22</v>
      </c>
      <c r="F73" s="4">
        <f>970.92+20.88</f>
        <v>991.8</v>
      </c>
      <c r="G73" s="18">
        <f t="shared" si="6"/>
        <v>0.22519044122658904</v>
      </c>
      <c r="H73" s="6">
        <f t="shared" si="7"/>
        <v>1101489.06</v>
      </c>
      <c r="I73" s="6">
        <f t="shared" si="8"/>
        <v>40717.05</v>
      </c>
      <c r="J73" s="18">
        <f t="shared" si="9"/>
        <v>3.696546019258693</v>
      </c>
    </row>
    <row r="74" spans="1:10" ht="15">
      <c r="A74" s="2" t="s">
        <v>77</v>
      </c>
      <c r="B74" s="15">
        <f>398104.87-2207.47</f>
        <v>395897.4</v>
      </c>
      <c r="C74" s="15">
        <v>7951.17</v>
      </c>
      <c r="D74" s="18">
        <f t="shared" si="5"/>
        <v>2.0083915681184066</v>
      </c>
      <c r="E74" s="15">
        <f>81.16+76766.73+20306.04+6507.63+3.45+0.58</f>
        <v>103665.59</v>
      </c>
      <c r="F74" s="15">
        <v>4440.95</v>
      </c>
      <c r="G74" s="18">
        <f t="shared" si="6"/>
        <v>4.283919090220776</v>
      </c>
      <c r="H74" s="6">
        <f t="shared" si="7"/>
        <v>499562.99</v>
      </c>
      <c r="I74" s="6">
        <f t="shared" si="8"/>
        <v>12392.119999999999</v>
      </c>
      <c r="J74" s="18">
        <f t="shared" si="9"/>
        <v>2.4805920870959635</v>
      </c>
    </row>
    <row r="75" spans="1:10" ht="15">
      <c r="A75" s="2" t="s">
        <v>78</v>
      </c>
      <c r="B75" s="4">
        <f>923737.51+417.12+117.03+817.03-3599.14</f>
        <v>921489.55</v>
      </c>
      <c r="C75" s="4">
        <v>21094.49</v>
      </c>
      <c r="D75" s="18">
        <f t="shared" si="5"/>
        <v>2.289173002558738</v>
      </c>
      <c r="E75" s="4">
        <f>72270.17+23937.57+19018.36+5.3+26.76+11.43-707.91-45</f>
        <v>114516.67999999998</v>
      </c>
      <c r="F75" s="4">
        <f>411.41+47.37</f>
        <v>458.78000000000003</v>
      </c>
      <c r="G75" s="18">
        <f t="shared" si="6"/>
        <v>0.4006228612286002</v>
      </c>
      <c r="H75" s="6">
        <f t="shared" si="7"/>
        <v>1036006.23</v>
      </c>
      <c r="I75" s="6">
        <f t="shared" si="8"/>
        <v>21553.27</v>
      </c>
      <c r="J75" s="18">
        <f t="shared" si="9"/>
        <v>2.080418956553958</v>
      </c>
    </row>
    <row r="76" spans="1:10" ht="15">
      <c r="A76" s="2" t="s">
        <v>79</v>
      </c>
      <c r="B76" s="4">
        <f>536782.93+45.02+24642.52+62.83-1040.16</f>
        <v>560493.14</v>
      </c>
      <c r="C76" s="4">
        <v>9375.09</v>
      </c>
      <c r="D76" s="18">
        <f t="shared" si="5"/>
        <v>1.6726502665135206</v>
      </c>
      <c r="E76" s="4">
        <f>271820.54+120557.14+17138.79+1824.26</f>
        <v>411340.73</v>
      </c>
      <c r="F76" s="4">
        <f>536.11+21.68+6.9</f>
        <v>564.6899999999999</v>
      </c>
      <c r="G76" s="18">
        <f t="shared" si="6"/>
        <v>0.13728035149837944</v>
      </c>
      <c r="H76" s="6">
        <f t="shared" si="7"/>
        <v>971833.87</v>
      </c>
      <c r="I76" s="6">
        <f t="shared" si="8"/>
        <v>9939.78</v>
      </c>
      <c r="J76" s="18">
        <f t="shared" si="9"/>
        <v>1.0227859212192305</v>
      </c>
    </row>
    <row r="77" spans="1:10" ht="15">
      <c r="A77" s="2" t="s">
        <v>80</v>
      </c>
      <c r="B77" s="4">
        <f>1337738.39+60.74+389.55+234.8-4512.72</f>
        <v>1333910.76</v>
      </c>
      <c r="C77" s="4">
        <v>18227.17</v>
      </c>
      <c r="D77" s="18">
        <f t="shared" si="5"/>
        <v>1.366445983238039</v>
      </c>
      <c r="E77" s="4">
        <f>276756.46+657055.99+164538.38+1529.14+44.29+49.69-574.11-254.48</f>
        <v>1099145.3599999999</v>
      </c>
      <c r="F77" s="4">
        <f>455.91+407.04+64.61</f>
        <v>927.5600000000001</v>
      </c>
      <c r="G77" s="18">
        <f t="shared" si="6"/>
        <v>0.08438920217067561</v>
      </c>
      <c r="H77" s="6">
        <f t="shared" si="7"/>
        <v>2433056.12</v>
      </c>
      <c r="I77" s="6">
        <f t="shared" si="8"/>
        <v>19154.73</v>
      </c>
      <c r="J77" s="18">
        <f t="shared" si="9"/>
        <v>0.7872703733607261</v>
      </c>
    </row>
    <row r="78" spans="1:10" ht="15">
      <c r="A78" s="2" t="s">
        <v>81</v>
      </c>
      <c r="B78" s="4">
        <f>720457.51+511.24+2314.22-2421.82</f>
        <v>720861.15</v>
      </c>
      <c r="C78" s="4">
        <v>7312.22</v>
      </c>
      <c r="D78" s="18">
        <f t="shared" si="5"/>
        <v>1.014372878882431</v>
      </c>
      <c r="E78" s="4">
        <f>62482.54+7087.84+7044.32+758.33+10.02-24.75</f>
        <v>77358.30000000002</v>
      </c>
      <c r="F78" s="4">
        <f>1654.62+14.08</f>
        <v>1668.6999999999998</v>
      </c>
      <c r="G78" s="18">
        <f t="shared" si="6"/>
        <v>2.157105313844797</v>
      </c>
      <c r="H78" s="6">
        <f t="shared" si="7"/>
        <v>798219.4500000001</v>
      </c>
      <c r="I78" s="6">
        <f t="shared" si="8"/>
        <v>8980.92</v>
      </c>
      <c r="J78" s="18">
        <f t="shared" si="9"/>
        <v>1.1251191636585653</v>
      </c>
    </row>
    <row r="79" spans="1:10" ht="15">
      <c r="A79" s="2" t="s">
        <v>82</v>
      </c>
      <c r="B79" s="4">
        <f>5217693.23+4265.71+1101.04+2698.09-10049.76</f>
        <v>5215708.3100000005</v>
      </c>
      <c r="C79" s="4">
        <v>118257.51</v>
      </c>
      <c r="D79" s="18">
        <f t="shared" si="5"/>
        <v>2.267333657698354</v>
      </c>
      <c r="E79" s="22">
        <f>745074.98+781762.19+169611.27+414.26+830.44+818.42+78.95+1000.4+119.98-1116.02-257.85-9.48</f>
        <v>1698327.5399999996</v>
      </c>
      <c r="F79" s="4">
        <f>14176.13+136.68+785.07+0.04</f>
        <v>15097.92</v>
      </c>
      <c r="G79" s="18">
        <f t="shared" si="6"/>
        <v>0.8889875271056373</v>
      </c>
      <c r="H79" s="6">
        <f t="shared" si="7"/>
        <v>6914035.85</v>
      </c>
      <c r="I79" s="6">
        <f t="shared" si="8"/>
        <v>133355.43</v>
      </c>
      <c r="J79" s="18">
        <f t="shared" si="9"/>
        <v>1.9287639360446764</v>
      </c>
    </row>
    <row r="80" spans="1:10" ht="15">
      <c r="A80" s="23" t="s">
        <v>83</v>
      </c>
      <c r="B80" s="4">
        <f>242886.44+20589.05-9405.03</f>
        <v>254070.46</v>
      </c>
      <c r="C80" s="4">
        <v>19168.92</v>
      </c>
      <c r="D80" s="18">
        <f t="shared" si="5"/>
        <v>7.544725978769826</v>
      </c>
      <c r="E80" s="4">
        <f>94799.02+7176.43+5390.09+0.15+14.8-395.11-38.46</f>
        <v>106946.92</v>
      </c>
      <c r="F80" s="4">
        <f>28875.89+508.27+66.43</f>
        <v>29450.59</v>
      </c>
      <c r="G80" s="18">
        <f t="shared" si="6"/>
        <v>27.537576584720718</v>
      </c>
      <c r="H80" s="6">
        <f t="shared" si="7"/>
        <v>361017.38</v>
      </c>
      <c r="I80" s="6">
        <f t="shared" si="8"/>
        <v>48619.509999999995</v>
      </c>
      <c r="J80" s="18">
        <f t="shared" si="9"/>
        <v>13.467359937075605</v>
      </c>
    </row>
    <row r="81" spans="1:10" ht="15">
      <c r="A81" s="2" t="s">
        <v>84</v>
      </c>
      <c r="B81" s="4">
        <f>1075041.11+416.63+100.16-1844.46</f>
        <v>1073713.44</v>
      </c>
      <c r="C81" s="4">
        <v>8910.55</v>
      </c>
      <c r="D81" s="18">
        <f t="shared" si="5"/>
        <v>0.8298815743612187</v>
      </c>
      <c r="E81" s="4">
        <f>1950+187823.68+394415.05+47151.47+51+103.8-2825.33</f>
        <v>628669.67</v>
      </c>
      <c r="F81" s="4">
        <f>321.75+157.46+28.71</f>
        <v>507.92</v>
      </c>
      <c r="G81" s="18">
        <f t="shared" si="6"/>
        <v>0.08079282717742689</v>
      </c>
      <c r="H81" s="6">
        <f t="shared" si="7"/>
        <v>1702383.1099999999</v>
      </c>
      <c r="I81" s="6">
        <f t="shared" si="8"/>
        <v>9418.47</v>
      </c>
      <c r="J81" s="18">
        <f t="shared" si="9"/>
        <v>0.5532520820181305</v>
      </c>
    </row>
    <row r="82" spans="1:10" ht="15">
      <c r="A82" s="2" t="s">
        <v>85</v>
      </c>
      <c r="B82" s="4">
        <f>2176188.82+696.93+46.1+1150.09-10073.31</f>
        <v>2168008.63</v>
      </c>
      <c r="C82" s="4">
        <v>27304.59</v>
      </c>
      <c r="D82" s="18">
        <f t="shared" si="5"/>
        <v>1.2594317947894884</v>
      </c>
      <c r="E82" s="4">
        <f>684766.47+1716805.82+109255.17+1291.34+20.57+36.1+380.47+239.67-10371.84-8.9</f>
        <v>2502414.87</v>
      </c>
      <c r="F82" s="4">
        <f>190.57+94.24+6</f>
        <v>290.81</v>
      </c>
      <c r="G82" s="18">
        <f t="shared" si="6"/>
        <v>0.01162117454968608</v>
      </c>
      <c r="H82" s="6">
        <f t="shared" si="7"/>
        <v>4670423.5</v>
      </c>
      <c r="I82" s="6">
        <f t="shared" si="8"/>
        <v>27595.4</v>
      </c>
      <c r="J82" s="18">
        <f t="shared" si="9"/>
        <v>0.5908543411534308</v>
      </c>
    </row>
    <row r="83" spans="1:10" ht="15">
      <c r="A83" s="2" t="s">
        <v>86</v>
      </c>
      <c r="B83" s="4">
        <f>252697.34+127.25+103339.34+43.92-7678.69</f>
        <v>348529.16</v>
      </c>
      <c r="C83" s="4">
        <v>44714.22</v>
      </c>
      <c r="D83" s="18">
        <f t="shared" si="5"/>
        <v>12.829405723182532</v>
      </c>
      <c r="E83" s="4">
        <f>300621.7+41007.49+7627.72+1595.58+110.59-45.18-110.59</f>
        <v>350807.31</v>
      </c>
      <c r="F83" s="4">
        <f>216061.95+20491.73+1552.87</f>
        <v>238106.55000000002</v>
      </c>
      <c r="G83" s="18">
        <f t="shared" si="6"/>
        <v>67.87388495410772</v>
      </c>
      <c r="H83" s="6">
        <f t="shared" si="7"/>
        <v>699336.47</v>
      </c>
      <c r="I83" s="6">
        <f t="shared" si="8"/>
        <v>282820.77</v>
      </c>
      <c r="J83" s="18">
        <f t="shared" si="9"/>
        <v>40.44130145250398</v>
      </c>
    </row>
    <row r="84" spans="1:10" ht="15">
      <c r="A84" s="2" t="s">
        <v>87</v>
      </c>
      <c r="B84" s="15">
        <f>896956.72+332.15+2431.77-3042.96</f>
        <v>896677.68</v>
      </c>
      <c r="C84" s="15">
        <f>8954.96</f>
        <v>8954.96</v>
      </c>
      <c r="D84" s="18">
        <f t="shared" si="5"/>
        <v>0.9986821574503782</v>
      </c>
      <c r="E84" s="15">
        <f>4021.77+378725.29+268690.58+44596.59+4328.7+12.67+522.91-343.45</f>
        <v>700555.06</v>
      </c>
      <c r="F84" s="15">
        <v>164.95</v>
      </c>
      <c r="G84" s="18">
        <f t="shared" si="6"/>
        <v>0.023545615386747758</v>
      </c>
      <c r="H84" s="6">
        <f t="shared" si="7"/>
        <v>1597232.7400000002</v>
      </c>
      <c r="I84" s="6">
        <f t="shared" si="8"/>
        <v>9119.91</v>
      </c>
      <c r="J84" s="18">
        <f t="shared" si="9"/>
        <v>0.5709819096245171</v>
      </c>
    </row>
    <row r="85" spans="1:10" ht="15">
      <c r="A85" s="2" t="s">
        <v>88</v>
      </c>
      <c r="B85" s="4">
        <f>4412215.88+1637.46+449.58+5811.2-64553.49</f>
        <v>4355560.63</v>
      </c>
      <c r="C85" s="4"/>
      <c r="D85" s="18">
        <f t="shared" si="5"/>
        <v>0</v>
      </c>
      <c r="E85" s="21">
        <f>1080859.52+74223.71+550152.68+2211.31+23.03+234.16+40.68+606.32+4636.14+1909.69+0.49+693.13</f>
        <v>1715590.8599999999</v>
      </c>
      <c r="F85" s="4">
        <f>13806.11+1303.25+2247.08</f>
        <v>17356.440000000002</v>
      </c>
      <c r="G85" s="18">
        <f t="shared" si="6"/>
        <v>1.0116887659333882</v>
      </c>
      <c r="H85" s="6">
        <f t="shared" si="7"/>
        <v>6071151.49</v>
      </c>
      <c r="I85" s="6">
        <f t="shared" si="8"/>
        <v>17356.440000000002</v>
      </c>
      <c r="J85" s="18">
        <f t="shared" si="9"/>
        <v>0.28588382333381707</v>
      </c>
    </row>
    <row r="86" spans="1:10" ht="15">
      <c r="A86" s="2" t="s">
        <v>89</v>
      </c>
      <c r="B86" s="4">
        <f>418699.29+54.11+630.37+21.96-1674.92</f>
        <v>417730.81</v>
      </c>
      <c r="C86" s="4">
        <v>21895.79</v>
      </c>
      <c r="D86" s="18">
        <f t="shared" si="5"/>
        <v>5.241602839876714</v>
      </c>
      <c r="E86" s="4">
        <f>32164.1+7494.79+8030.04+2.1+6.04-327.09</f>
        <v>47369.98</v>
      </c>
      <c r="F86" s="4">
        <f>141.28+1.68+6.04</f>
        <v>149</v>
      </c>
      <c r="G86" s="18">
        <f t="shared" si="6"/>
        <v>0.3145452035234129</v>
      </c>
      <c r="H86" s="6">
        <f t="shared" si="7"/>
        <v>465100.79</v>
      </c>
      <c r="I86" s="6">
        <f t="shared" si="8"/>
        <v>22044.79</v>
      </c>
      <c r="J86" s="18">
        <f t="shared" si="9"/>
        <v>4.739787692039827</v>
      </c>
    </row>
    <row r="87" spans="1:10" ht="15">
      <c r="A87" s="23" t="s">
        <v>90</v>
      </c>
      <c r="B87" s="4">
        <f>456386.39+325.74+9516.3+398.56-3983.55</f>
        <v>462643.44</v>
      </c>
      <c r="C87" s="4">
        <v>3396.53</v>
      </c>
      <c r="D87" s="18">
        <f t="shared" si="5"/>
        <v>0.7341571729624006</v>
      </c>
      <c r="E87" s="4">
        <f>127379.48+26253.38+13399.02+1622.63+124.51+29.05+314.17-0.45-2.1</f>
        <v>169119.68999999997</v>
      </c>
      <c r="F87" s="4">
        <v>0</v>
      </c>
      <c r="G87" s="18">
        <f t="shared" si="6"/>
        <v>0</v>
      </c>
      <c r="H87" s="6">
        <f t="shared" si="7"/>
        <v>631763.13</v>
      </c>
      <c r="I87" s="6">
        <f t="shared" si="8"/>
        <v>3396.53</v>
      </c>
      <c r="J87" s="18">
        <f t="shared" si="9"/>
        <v>0.5376271324982198</v>
      </c>
    </row>
    <row r="88" spans="1:10" ht="15">
      <c r="A88" s="2" t="s">
        <v>91</v>
      </c>
      <c r="B88" s="4">
        <f>1391636.25+135.05+19315.6+52.46-3545.69</f>
        <v>1407593.6700000002</v>
      </c>
      <c r="C88" s="4">
        <v>19381.1</v>
      </c>
      <c r="D88" s="18">
        <f t="shared" si="5"/>
        <v>1.3768959333271225</v>
      </c>
      <c r="E88" s="4">
        <f>184586.87+64567.86+20275.07+71.66+3.89+52.03+21.96+259.23+42.5-65.89</f>
        <v>269815.18</v>
      </c>
      <c r="F88" s="4">
        <f>517.3+39.84+0.08</f>
        <v>557.22</v>
      </c>
      <c r="G88" s="18">
        <f t="shared" si="6"/>
        <v>0.20651914395624443</v>
      </c>
      <c r="H88" s="6">
        <f t="shared" si="7"/>
        <v>1677408.85</v>
      </c>
      <c r="I88" s="6">
        <f t="shared" si="8"/>
        <v>19938.32</v>
      </c>
      <c r="J88" s="18">
        <f t="shared" si="9"/>
        <v>1.1886380592304613</v>
      </c>
    </row>
    <row r="89" spans="1:10" ht="15">
      <c r="A89" s="2" t="s">
        <v>92</v>
      </c>
      <c r="B89" s="4">
        <f>159471.72-1763.77</f>
        <v>157707.95</v>
      </c>
      <c r="C89" s="4">
        <f>9679.89</f>
        <v>9679.89</v>
      </c>
      <c r="D89" s="18">
        <f t="shared" si="5"/>
        <v>6.13785798369708</v>
      </c>
      <c r="E89" s="4">
        <f>278.5+12527.51+6119.41+1745.62</f>
        <v>20671.039999999997</v>
      </c>
      <c r="F89" s="4">
        <f>70.78+26.9</f>
        <v>97.68</v>
      </c>
      <c r="G89" s="18">
        <f t="shared" si="6"/>
        <v>0.47254516463612867</v>
      </c>
      <c r="H89" s="6">
        <f t="shared" si="7"/>
        <v>178378.99000000002</v>
      </c>
      <c r="I89" s="6">
        <f t="shared" si="8"/>
        <v>9777.57</v>
      </c>
      <c r="J89" s="18">
        <f t="shared" si="9"/>
        <v>5.48134620562657</v>
      </c>
    </row>
    <row r="90" spans="1:10" ht="15">
      <c r="A90" s="2" t="s">
        <v>93</v>
      </c>
      <c r="B90" s="15">
        <f>1476671.51+540.22+199.63+14383.49-4143.71</f>
        <v>1487651.14</v>
      </c>
      <c r="C90" s="15">
        <v>24208.72</v>
      </c>
      <c r="D90" s="18">
        <f t="shared" si="5"/>
        <v>1.627311628988501</v>
      </c>
      <c r="E90" s="15">
        <f>196006.1+904972.52+24139.58+70.59+2648.08+0.08+20.49+0.02-282.36-0.02-7.64</f>
        <v>1127567.4400000004</v>
      </c>
      <c r="F90" s="15">
        <f>140.67+57.25</f>
        <v>197.92</v>
      </c>
      <c r="G90" s="18">
        <f t="shared" si="6"/>
        <v>0.017552830365516754</v>
      </c>
      <c r="H90" s="6">
        <f t="shared" si="7"/>
        <v>2615218.58</v>
      </c>
      <c r="I90" s="6">
        <f t="shared" si="8"/>
        <v>24406.64</v>
      </c>
      <c r="J90" s="18">
        <f t="shared" si="9"/>
        <v>0.9332543056496637</v>
      </c>
    </row>
    <row r="91" spans="1:10" ht="15">
      <c r="A91" s="2" t="s">
        <v>94</v>
      </c>
      <c r="B91" s="4">
        <f>329328.67+181.29+1726.16+0.61-1717.42</f>
        <v>329519.30999999994</v>
      </c>
      <c r="C91" s="4">
        <v>11569.15</v>
      </c>
      <c r="D91" s="18">
        <f t="shared" si="5"/>
        <v>3.510917159907868</v>
      </c>
      <c r="E91" s="4">
        <f>49529.79+108846.33+16003.93+1.35+6.34</f>
        <v>174387.74</v>
      </c>
      <c r="F91" s="4">
        <f>505.9+13.44+62.51</f>
        <v>581.85</v>
      </c>
      <c r="G91" s="18">
        <f t="shared" si="6"/>
        <v>0.3336530423526333</v>
      </c>
      <c r="H91" s="6">
        <f t="shared" si="7"/>
        <v>503907.04999999993</v>
      </c>
      <c r="I91" s="6">
        <f t="shared" si="8"/>
        <v>12151</v>
      </c>
      <c r="J91" s="18">
        <f t="shared" si="9"/>
        <v>2.4113574120465273</v>
      </c>
    </row>
    <row r="92" spans="1:10" ht="15">
      <c r="A92" s="23" t="s">
        <v>95</v>
      </c>
      <c r="B92" s="4">
        <f>352667.56+1262.73+73.57-778.36</f>
        <v>353225.5</v>
      </c>
      <c r="C92" s="4">
        <v>7996.86</v>
      </c>
      <c r="D92" s="18">
        <f t="shared" si="5"/>
        <v>2.2639531970370204</v>
      </c>
      <c r="E92" s="4">
        <f>69328.34+25399.36+19826.01+35.78+4.01+5.36-2412.05</f>
        <v>112186.80999999998</v>
      </c>
      <c r="F92" s="4">
        <f>795.33+10.18+2.06</f>
        <v>807.5699999999999</v>
      </c>
      <c r="G92" s="18">
        <f t="shared" si="6"/>
        <v>0.7198439816588065</v>
      </c>
      <c r="H92" s="6">
        <f t="shared" si="7"/>
        <v>465412.31</v>
      </c>
      <c r="I92" s="6">
        <f t="shared" si="8"/>
        <v>8804.43</v>
      </c>
      <c r="J92" s="18">
        <f t="shared" si="9"/>
        <v>1.8917484155071016</v>
      </c>
    </row>
    <row r="93" spans="1:10" ht="15">
      <c r="A93" s="2" t="s">
        <v>96</v>
      </c>
      <c r="B93" s="4">
        <f>1413279.54+45.02+180.7+477.14-3141.13</f>
        <v>1410841.27</v>
      </c>
      <c r="C93" s="4">
        <v>33772.96</v>
      </c>
      <c r="D93" s="18">
        <f t="shared" si="5"/>
        <v>2.3938171301155657</v>
      </c>
      <c r="E93" s="4">
        <f>2904+249226.44+245940.38+59859.94+511.25+2.5+44.2-30.8-9</f>
        <v>558448.9099999999</v>
      </c>
      <c r="F93" s="4">
        <f>10165.65+57.26+84.25+9.15</f>
        <v>10316.31</v>
      </c>
      <c r="G93" s="18">
        <f t="shared" si="6"/>
        <v>1.8473149137313207</v>
      </c>
      <c r="H93" s="6">
        <f t="shared" si="7"/>
        <v>1969290.18</v>
      </c>
      <c r="I93" s="6">
        <f t="shared" si="8"/>
        <v>44089.27</v>
      </c>
      <c r="J93" s="18">
        <f t="shared" si="9"/>
        <v>2.2388406974131154</v>
      </c>
    </row>
    <row r="94" spans="1:10" ht="15">
      <c r="A94" s="2" t="s">
        <v>97</v>
      </c>
      <c r="B94" s="4">
        <f>318612.14+57.95+1262.27+73.2-2370.8</f>
        <v>317634.76000000007</v>
      </c>
      <c r="C94" s="4">
        <v>13998.02</v>
      </c>
      <c r="D94" s="18">
        <f t="shared" si="5"/>
        <v>4.406954704831422</v>
      </c>
      <c r="E94" s="4">
        <f>74564+5149.32+8396.06+33.67+10.72+2.07+26.75+62.9</f>
        <v>88245.49</v>
      </c>
      <c r="F94" s="4">
        <f>383.02+30.03+59.94+1477.24</f>
        <v>1950.23</v>
      </c>
      <c r="G94" s="18">
        <f t="shared" si="6"/>
        <v>2.2100052931883543</v>
      </c>
      <c r="H94" s="6">
        <f t="shared" si="7"/>
        <v>405880.25000000006</v>
      </c>
      <c r="I94" s="6">
        <f t="shared" si="8"/>
        <v>15948.25</v>
      </c>
      <c r="J94" s="18">
        <f t="shared" si="9"/>
        <v>3.929299343833556</v>
      </c>
    </row>
    <row r="95" spans="1:10" ht="15">
      <c r="A95" s="2" t="s">
        <v>98</v>
      </c>
      <c r="B95" s="4">
        <f>1144581.48+270.72+16951.58+434.08-10173.54</f>
        <v>1152064.32</v>
      </c>
      <c r="C95" s="4">
        <v>28433.22</v>
      </c>
      <c r="D95" s="18">
        <f t="shared" si="5"/>
        <v>2.4680236603456307</v>
      </c>
      <c r="E95" s="4">
        <f>396628.11+98021.07+64011.62+73.95+143.95+923.58+194.46-2770.75</f>
        <v>557225.9899999999</v>
      </c>
      <c r="F95" s="4">
        <f>6001.79+70.95</f>
        <v>6072.74</v>
      </c>
      <c r="G95" s="18">
        <f t="shared" si="6"/>
        <v>1.08981635978609</v>
      </c>
      <c r="H95" s="6">
        <f t="shared" si="7"/>
        <v>1709290.31</v>
      </c>
      <c r="I95" s="6">
        <f t="shared" si="8"/>
        <v>34505.96</v>
      </c>
      <c r="J95" s="18">
        <f t="shared" si="9"/>
        <v>2.018730217923016</v>
      </c>
    </row>
    <row r="96" spans="1:10" ht="15">
      <c r="A96" s="23" t="s">
        <v>99</v>
      </c>
      <c r="B96" s="15">
        <f>2994250.95+5423.63+1720.6+604.06-13289.07</f>
        <v>2988710.1700000004</v>
      </c>
      <c r="C96" s="15">
        <v>28962.08</v>
      </c>
      <c r="D96" s="18">
        <f t="shared" si="5"/>
        <v>0.9690494679181286</v>
      </c>
      <c r="E96" s="15">
        <f>1965+364093.75+523494.32+70933.98+253.24+5.27+825.57+111.04+473.8+169.05+16.8+3.6-0.25-52.38</f>
        <v>962292.7900000002</v>
      </c>
      <c r="F96" s="15">
        <f>1510.23+182.83+2.25</f>
        <v>1695.31</v>
      </c>
      <c r="G96" s="18">
        <f t="shared" si="6"/>
        <v>0.17617403119065245</v>
      </c>
      <c r="H96" s="6">
        <f t="shared" si="7"/>
        <v>3951002.9600000004</v>
      </c>
      <c r="I96" s="6">
        <f t="shared" si="8"/>
        <v>30657.390000000003</v>
      </c>
      <c r="J96" s="18">
        <f t="shared" si="9"/>
        <v>0.775939433869723</v>
      </c>
    </row>
    <row r="97" spans="1:10" ht="15">
      <c r="A97" s="2" t="s">
        <v>100</v>
      </c>
      <c r="B97" s="4">
        <f>263079.92+18.3-871.99</f>
        <v>262226.23</v>
      </c>
      <c r="C97" s="4">
        <v>6477.09</v>
      </c>
      <c r="D97" s="18">
        <f t="shared" si="5"/>
        <v>2.4700389430912386</v>
      </c>
      <c r="E97" s="4">
        <f>9667.11+1723.12+1114.63+0.75+0.25</f>
        <v>12505.86</v>
      </c>
      <c r="F97" s="4">
        <v>31.38</v>
      </c>
      <c r="G97" s="18">
        <f t="shared" si="6"/>
        <v>0.2509223675940719</v>
      </c>
      <c r="H97" s="6">
        <f t="shared" si="7"/>
        <v>274732.08999999997</v>
      </c>
      <c r="I97" s="6">
        <f t="shared" si="8"/>
        <v>6508.47</v>
      </c>
      <c r="J97" s="18">
        <f t="shared" si="9"/>
        <v>2.369024310192523</v>
      </c>
    </row>
    <row r="98" spans="1:10" ht="15">
      <c r="A98" s="23" t="s">
        <v>101</v>
      </c>
      <c r="B98" s="4">
        <f>825058.7+90.04+9804.92+42.7-4538.24</f>
        <v>830458.12</v>
      </c>
      <c r="C98" s="4">
        <v>18450.76</v>
      </c>
      <c r="D98" s="18">
        <f t="shared" si="5"/>
        <v>2.221756829832671</v>
      </c>
      <c r="E98" s="4">
        <f>703138+185586.43+28294.74+484.28+26.61+285.69+179.46+1+0.04-36.11-285.69</f>
        <v>917674.45</v>
      </c>
      <c r="F98" s="4">
        <f>560.23+40.77+69.92</f>
        <v>670.92</v>
      </c>
      <c r="G98" s="18">
        <f t="shared" si="6"/>
        <v>0.07311089460973878</v>
      </c>
      <c r="H98" s="6">
        <f t="shared" si="7"/>
        <v>1748132.5699999998</v>
      </c>
      <c r="I98" s="6">
        <f t="shared" si="8"/>
        <v>19121.679999999997</v>
      </c>
      <c r="J98" s="18">
        <f t="shared" si="9"/>
        <v>1.0938346626652005</v>
      </c>
    </row>
    <row r="99" spans="1:10" ht="15">
      <c r="A99" s="2" t="s">
        <v>102</v>
      </c>
      <c r="B99" s="4">
        <f>6650749.84+90.04+970.74+1342.51-9012.02</f>
        <v>6644141.11</v>
      </c>
      <c r="C99" s="4">
        <v>40776.77</v>
      </c>
      <c r="D99" s="18">
        <f t="shared" si="5"/>
        <v>0.6137252253512117</v>
      </c>
      <c r="E99" s="4">
        <f>284618.12+83055.89+46434.6+891.87+85.61+130.33-3248.36</f>
        <v>411968.06</v>
      </c>
      <c r="F99" s="4">
        <f>4395.02+820.49+259.26+4.28</f>
        <v>5479.05</v>
      </c>
      <c r="G99" s="18">
        <f t="shared" si="6"/>
        <v>1.3299696097799427</v>
      </c>
      <c r="H99" s="6">
        <f t="shared" si="7"/>
        <v>7056109.17</v>
      </c>
      <c r="I99" s="6">
        <f t="shared" si="8"/>
        <v>46255.82</v>
      </c>
      <c r="J99" s="18">
        <f t="shared" si="9"/>
        <v>0.6555428620161216</v>
      </c>
    </row>
    <row r="100" spans="1:10" ht="15">
      <c r="A100" s="2" t="s">
        <v>103</v>
      </c>
      <c r="B100" s="4">
        <f>556865.91+117.49+116.63+66.98-1364.33</f>
        <v>555802.68</v>
      </c>
      <c r="C100" s="4">
        <v>17049.87</v>
      </c>
      <c r="D100" s="18">
        <f t="shared" si="5"/>
        <v>3.067612052536342</v>
      </c>
      <c r="E100" s="4">
        <f>54112.98+11151.5+8739.65+22.42+0.17+4.5+0.05+115.05-12.24</f>
        <v>74134.08</v>
      </c>
      <c r="F100" s="4">
        <f>1084.9+108.68</f>
        <v>1193.5800000000002</v>
      </c>
      <c r="G100" s="18">
        <f t="shared" si="6"/>
        <v>1.6100287479118915</v>
      </c>
      <c r="H100" s="6">
        <f t="shared" si="7"/>
        <v>629936.76</v>
      </c>
      <c r="I100" s="6">
        <f t="shared" si="8"/>
        <v>18243.45</v>
      </c>
      <c r="J100" s="18">
        <f t="shared" si="9"/>
        <v>2.8960764251954436</v>
      </c>
    </row>
    <row r="101" spans="1:10" ht="15">
      <c r="A101" s="2" t="s">
        <v>104</v>
      </c>
      <c r="B101" s="4">
        <f>101739.36+356.12+90.2-2487.21</f>
        <v>99698.46999999999</v>
      </c>
      <c r="C101" s="4">
        <v>5945.47</v>
      </c>
      <c r="D101" s="18">
        <f t="shared" si="5"/>
        <v>5.963451595596203</v>
      </c>
      <c r="E101" s="4">
        <f>7170.73+1653.12+720.17+0.56</f>
        <v>9544.579999999998</v>
      </c>
      <c r="F101" s="4">
        <v>0</v>
      </c>
      <c r="G101" s="18">
        <f t="shared" si="6"/>
        <v>0</v>
      </c>
      <c r="H101" s="6">
        <f t="shared" si="7"/>
        <v>109243.04999999999</v>
      </c>
      <c r="I101" s="6">
        <f t="shared" si="8"/>
        <v>5945.47</v>
      </c>
      <c r="J101" s="18">
        <f t="shared" si="9"/>
        <v>5.442424026059324</v>
      </c>
    </row>
    <row r="102" spans="1:10" ht="15">
      <c r="A102" s="2" t="s">
        <v>105</v>
      </c>
      <c r="B102" s="15">
        <f>623080.57+90.04+4193.83+30.8-2412.89</f>
        <v>624982.35</v>
      </c>
      <c r="C102" s="15">
        <v>8360.64</v>
      </c>
      <c r="D102" s="18">
        <f t="shared" si="5"/>
        <v>1.3377401777826206</v>
      </c>
      <c r="E102" s="15">
        <f>119963.91+108205.44+5808.55+60.12+0.05-7.35</f>
        <v>234030.71999999997</v>
      </c>
      <c r="F102" s="15">
        <f>19.66+492.01</f>
        <v>511.67</v>
      </c>
      <c r="G102" s="18">
        <f t="shared" si="6"/>
        <v>0.2186336904830272</v>
      </c>
      <c r="H102" s="6">
        <f t="shared" si="7"/>
        <v>859013.07</v>
      </c>
      <c r="I102" s="6">
        <f t="shared" si="8"/>
        <v>8872.31</v>
      </c>
      <c r="J102" s="18">
        <f t="shared" si="9"/>
        <v>1.0328492440749475</v>
      </c>
    </row>
    <row r="103" spans="1:10" ht="15">
      <c r="A103" s="2" t="s">
        <v>106</v>
      </c>
      <c r="B103" s="4">
        <f>969589.58+680.64+145232.46+26457.02-42697.85</f>
        <v>1099261.8499999999</v>
      </c>
      <c r="C103" s="4">
        <v>93084.18</v>
      </c>
      <c r="D103" s="18">
        <f t="shared" si="5"/>
        <v>8.467880514547103</v>
      </c>
      <c r="E103" s="4">
        <f>844114.44+50768.72+46791.66+3853.02-279.6-11.17</f>
        <v>945237.07</v>
      </c>
      <c r="F103" s="4">
        <f>212973.48+5142.1+511.23+98.24</f>
        <v>218725.05000000002</v>
      </c>
      <c r="G103" s="18">
        <f t="shared" si="6"/>
        <v>23.139702931879306</v>
      </c>
      <c r="H103" s="6">
        <f t="shared" si="7"/>
        <v>2044498.92</v>
      </c>
      <c r="I103" s="6">
        <f t="shared" si="8"/>
        <v>311809.23</v>
      </c>
      <c r="J103" s="18">
        <f t="shared" si="9"/>
        <v>15.251132047553245</v>
      </c>
    </row>
    <row r="104" spans="1:10" ht="15">
      <c r="A104" s="25" t="s">
        <v>107</v>
      </c>
      <c r="B104" s="4">
        <f>1872454.84+15.86+496001+5404.44-26006.88</f>
        <v>2347869.2600000002</v>
      </c>
      <c r="C104" s="4">
        <v>164869.08</v>
      </c>
      <c r="D104" s="18">
        <f t="shared" si="5"/>
        <v>7.022072430046636</v>
      </c>
      <c r="E104" s="4">
        <f>1797397.84+301651.02+102215.25+121.06+45.92-869.59</f>
        <v>2200561.5000000005</v>
      </c>
      <c r="F104" s="4">
        <f>474255.01+56039.58+2849.41</f>
        <v>533144</v>
      </c>
      <c r="G104" s="18">
        <f t="shared" si="6"/>
        <v>24.22763462870726</v>
      </c>
      <c r="H104" s="6">
        <f t="shared" si="7"/>
        <v>4548430.760000001</v>
      </c>
      <c r="I104" s="6">
        <f t="shared" si="8"/>
        <v>698013.08</v>
      </c>
      <c r="J104" s="18">
        <f t="shared" si="9"/>
        <v>15.346239545702128</v>
      </c>
    </row>
    <row r="105" spans="1:10" ht="15">
      <c r="A105" s="2" t="s">
        <v>108</v>
      </c>
      <c r="B105" s="4">
        <f>462067.85+15.86+1413.74-2087.29</f>
        <v>461410.16</v>
      </c>
      <c r="C105" s="4">
        <v>25316.58</v>
      </c>
      <c r="D105" s="18">
        <f t="shared" si="5"/>
        <v>5.486784252865174</v>
      </c>
      <c r="E105" s="4">
        <f>61711.6+25367.39+7801.55+15.68</f>
        <v>94896.21999999999</v>
      </c>
      <c r="F105" s="4">
        <f>88.87+1</f>
        <v>89.87</v>
      </c>
      <c r="G105" s="18">
        <f t="shared" si="6"/>
        <v>0.09470345604914507</v>
      </c>
      <c r="H105" s="6">
        <f t="shared" si="7"/>
        <v>556306.38</v>
      </c>
      <c r="I105" s="6">
        <f t="shared" si="8"/>
        <v>25406.45</v>
      </c>
      <c r="J105" s="18">
        <f t="shared" si="9"/>
        <v>4.566988787725211</v>
      </c>
    </row>
    <row r="106" spans="1:10" ht="15">
      <c r="A106" s="2" t="s">
        <v>109</v>
      </c>
      <c r="B106" s="4">
        <f>3857036.92+468.24+772.93+600.6-11390.18</f>
        <v>3847488.5100000002</v>
      </c>
      <c r="C106" s="4">
        <v>60184.07</v>
      </c>
      <c r="D106" s="18">
        <f t="shared" si="5"/>
        <v>1.5642430079667737</v>
      </c>
      <c r="E106" s="4">
        <f>708263.33+392224.9+143701.59+2131.16+48.62+64.71+375.67+393.47-220.6-44.86</f>
        <v>1246937.9899999998</v>
      </c>
      <c r="F106" s="4">
        <f>3363.08+650.06+358+34.1</f>
        <v>4405.24</v>
      </c>
      <c r="G106" s="18">
        <f t="shared" si="6"/>
        <v>0.3532846088040032</v>
      </c>
      <c r="H106" s="6">
        <f t="shared" si="7"/>
        <v>5094426.5</v>
      </c>
      <c r="I106" s="6">
        <f t="shared" si="8"/>
        <v>64589.31</v>
      </c>
      <c r="J106" s="18">
        <f t="shared" si="9"/>
        <v>1.2678426119210866</v>
      </c>
    </row>
    <row r="107" spans="1:10" ht="15">
      <c r="A107" s="2" t="s">
        <v>110</v>
      </c>
      <c r="B107" s="4">
        <f>75793.77-376.37</f>
        <v>75417.40000000001</v>
      </c>
      <c r="C107" s="4">
        <v>1522.17</v>
      </c>
      <c r="D107" s="18">
        <f t="shared" si="5"/>
        <v>2.0183273356015987</v>
      </c>
      <c r="E107" s="4">
        <f>3028.55+318.56</f>
        <v>3347.11</v>
      </c>
      <c r="F107" s="4">
        <v>0</v>
      </c>
      <c r="G107" s="18">
        <f t="shared" si="6"/>
        <v>0</v>
      </c>
      <c r="H107" s="6">
        <f t="shared" si="7"/>
        <v>78764.51000000001</v>
      </c>
      <c r="I107" s="6">
        <f t="shared" si="8"/>
        <v>1522.17</v>
      </c>
      <c r="J107" s="18">
        <f t="shared" si="9"/>
        <v>1.9325582041962805</v>
      </c>
    </row>
    <row r="108" spans="1:10" ht="15">
      <c r="A108" s="2" t="s">
        <v>111</v>
      </c>
      <c r="B108" s="4">
        <f>475256.95+93.94+419.08+89.06-4024.66</f>
        <v>471834.37000000005</v>
      </c>
      <c r="C108" s="4">
        <v>14933.41</v>
      </c>
      <c r="D108" s="18">
        <f t="shared" si="5"/>
        <v>3.1649686732231905</v>
      </c>
      <c r="E108" s="4">
        <f>58815.31+14515.83+5391.73+3.57</f>
        <v>78726.44</v>
      </c>
      <c r="F108" s="4">
        <f>469.78+57.7</f>
        <v>527.48</v>
      </c>
      <c r="G108" s="18">
        <f t="shared" si="6"/>
        <v>0.6700163248839908</v>
      </c>
      <c r="H108" s="6">
        <f t="shared" si="7"/>
        <v>550560.81</v>
      </c>
      <c r="I108" s="6">
        <f t="shared" si="8"/>
        <v>15460.89</v>
      </c>
      <c r="J108" s="18">
        <f t="shared" si="9"/>
        <v>2.8082075075412645</v>
      </c>
    </row>
    <row r="109" spans="1:10" ht="15">
      <c r="A109" s="2" t="s">
        <v>112</v>
      </c>
      <c r="B109" s="15">
        <f>1147724.6+602.44+88.26-7225.71</f>
        <v>1141189.59</v>
      </c>
      <c r="C109" s="15">
        <f>31118.04</f>
        <v>31118.04</v>
      </c>
      <c r="D109" s="18">
        <f t="shared" si="5"/>
        <v>2.7268072082571306</v>
      </c>
      <c r="E109" s="15">
        <f>972.94+232618.6+109238.09+35283.2+659.18+0.02+1533.58+17933.48+3465.95-1539.62-17933.48-3465.95</f>
        <v>378765.99000000005</v>
      </c>
      <c r="F109" s="15">
        <f>1358.01-80.38+764.03+11.25+64.05</f>
        <v>2116.96</v>
      </c>
      <c r="G109" s="18">
        <f t="shared" si="6"/>
        <v>0.5589097373816482</v>
      </c>
      <c r="H109" s="6">
        <f t="shared" si="7"/>
        <v>1519955.58</v>
      </c>
      <c r="I109" s="6">
        <f t="shared" si="8"/>
        <v>33235</v>
      </c>
      <c r="J109" s="18">
        <f t="shared" si="9"/>
        <v>2.186577057732174</v>
      </c>
    </row>
    <row r="110" spans="1:10" ht="15">
      <c r="A110" s="2" t="s">
        <v>113</v>
      </c>
      <c r="B110" s="4">
        <f>988564.9+90.04+283.21+298.17-3136.03</f>
        <v>986100.29</v>
      </c>
      <c r="C110" s="4">
        <f>14843.94</f>
        <v>14843.94</v>
      </c>
      <c r="D110" s="18">
        <f t="shared" si="5"/>
        <v>1.5053174763796084</v>
      </c>
      <c r="E110" s="4">
        <f>152725.07+119176.01+42572.24+5182.23+7.37+6.93+93.1+12-6909.85-93.1</f>
        <v>312772</v>
      </c>
      <c r="F110" s="4">
        <f>29499.68+53.31+32.23</f>
        <v>29585.22</v>
      </c>
      <c r="G110" s="18">
        <f t="shared" si="6"/>
        <v>9.459037253974142</v>
      </c>
      <c r="H110" s="6">
        <f t="shared" si="7"/>
        <v>1298872.29</v>
      </c>
      <c r="I110" s="6">
        <f t="shared" si="8"/>
        <v>44429.16</v>
      </c>
      <c r="J110" s="18">
        <f t="shared" si="9"/>
        <v>3.420594953180501</v>
      </c>
    </row>
    <row r="111" spans="1:10" ht="15">
      <c r="A111" s="2" t="s">
        <v>114</v>
      </c>
      <c r="B111" s="4">
        <f>4491548.12+186.05+532.68+16122.71-6002.2</f>
        <v>4502387.359999999</v>
      </c>
      <c r="C111" s="4">
        <v>63696.06</v>
      </c>
      <c r="D111" s="18">
        <f t="shared" si="5"/>
        <v>1.4147174578066513</v>
      </c>
      <c r="E111" s="4">
        <f>454404.56+285091.35+102387.25+758.95+13416.1+686.61+16.27-592.8-16.01</f>
        <v>856152.2799999998</v>
      </c>
      <c r="F111" s="4">
        <f>4649.41+176.47+37.22</f>
        <v>4863.1</v>
      </c>
      <c r="G111" s="18">
        <f t="shared" si="6"/>
        <v>0.5680181100493013</v>
      </c>
      <c r="H111" s="6">
        <f t="shared" si="7"/>
        <v>5358539.639999999</v>
      </c>
      <c r="I111" s="6">
        <f t="shared" si="8"/>
        <v>68559.16</v>
      </c>
      <c r="J111" s="18">
        <f t="shared" si="9"/>
        <v>1.279437395372147</v>
      </c>
    </row>
    <row r="112" spans="1:10" ht="15">
      <c r="A112" s="2" t="s">
        <v>115</v>
      </c>
      <c r="B112" s="15">
        <f>3403069.61+689.3+301.22-10901.97</f>
        <v>3393158.1599999997</v>
      </c>
      <c r="C112" s="15">
        <v>32588.93</v>
      </c>
      <c r="D112" s="18">
        <f t="shared" si="5"/>
        <v>0.9604306213654363</v>
      </c>
      <c r="E112" s="15">
        <f>4193.27+761800.19+534837.65+114376.65+2841.01+80.4+6576.94+448.23+4.21-559.88-1.53</f>
        <v>1424597.1399999997</v>
      </c>
      <c r="F112" s="15">
        <f>2431.88+46.77+0.2</f>
        <v>2478.85</v>
      </c>
      <c r="G112" s="18">
        <f t="shared" si="6"/>
        <v>0.17400357830284569</v>
      </c>
      <c r="H112" s="6">
        <f t="shared" si="7"/>
        <v>4817755.299999999</v>
      </c>
      <c r="I112" s="6">
        <f t="shared" si="8"/>
        <v>35067.78</v>
      </c>
      <c r="J112" s="18">
        <f t="shared" si="9"/>
        <v>0.7278862834731354</v>
      </c>
    </row>
    <row r="113" spans="1:10" ht="15">
      <c r="A113" s="2" t="s">
        <v>116</v>
      </c>
      <c r="B113" s="4">
        <f>1266330.23+45.02+410.54+253.88-1360.42</f>
        <v>1265679.25</v>
      </c>
      <c r="C113" s="4">
        <v>23420.49</v>
      </c>
      <c r="D113" s="18">
        <f t="shared" si="5"/>
        <v>1.850428534717623</v>
      </c>
      <c r="E113" s="4">
        <f>622.17+30746.03+396369.59+77336.58+2064.61+212.23+796.88-25.61</f>
        <v>508122.48000000004</v>
      </c>
      <c r="F113" s="4">
        <f>10481.67+63600.6+12867.4</f>
        <v>86949.67</v>
      </c>
      <c r="G113" s="18">
        <f t="shared" si="6"/>
        <v>17.111951039835905</v>
      </c>
      <c r="H113" s="6">
        <f t="shared" si="7"/>
        <v>1773801.73</v>
      </c>
      <c r="I113" s="6">
        <f t="shared" si="8"/>
        <v>110370.16</v>
      </c>
      <c r="J113" s="18">
        <f t="shared" si="9"/>
        <v>6.22223770184281</v>
      </c>
    </row>
    <row r="114" spans="1:10" ht="15">
      <c r="A114" s="2" t="s">
        <v>117</v>
      </c>
      <c r="B114" s="4">
        <f>1275601.53+12.2+2.44-2320.38</f>
        <v>1273295.79</v>
      </c>
      <c r="C114" s="4">
        <v>8635.75</v>
      </c>
      <c r="D114" s="18">
        <f t="shared" si="5"/>
        <v>0.67822025862506</v>
      </c>
      <c r="E114" s="4">
        <f>38921.1+190.83+1800.24+138.8+12+11.25+0.38-11.25</f>
        <v>41063.35</v>
      </c>
      <c r="F114" s="4">
        <f>228.24+0.75</f>
        <v>228.99</v>
      </c>
      <c r="G114" s="18">
        <f t="shared" si="6"/>
        <v>0.5576505570052127</v>
      </c>
      <c r="H114" s="6">
        <f t="shared" si="7"/>
        <v>1314359.1400000001</v>
      </c>
      <c r="I114" s="6">
        <f t="shared" si="8"/>
        <v>8864.74</v>
      </c>
      <c r="J114" s="18">
        <f t="shared" si="9"/>
        <v>0.674453407004116</v>
      </c>
    </row>
    <row r="115" spans="1:10" ht="15">
      <c r="A115" s="2" t="s">
        <v>118</v>
      </c>
      <c r="B115" s="15">
        <f>1199423.02+243.99+7.8+205.52-4161.4</f>
        <v>1195718.9300000002</v>
      </c>
      <c r="C115" s="15">
        <v>12937.19</v>
      </c>
      <c r="D115" s="18">
        <f t="shared" si="5"/>
        <v>1.081959118937759</v>
      </c>
      <c r="E115" s="15">
        <f>236322.51+57064.89+35052.81+1750.06+2.84+413.87+4064.76+1464.75-47.6-17.25</f>
        <v>336071.6400000001</v>
      </c>
      <c r="F115" s="15">
        <f>959.31+731.49</f>
        <v>1690.8</v>
      </c>
      <c r="G115" s="18">
        <f t="shared" si="6"/>
        <v>0.5031070161112077</v>
      </c>
      <c r="H115" s="6">
        <f t="shared" si="7"/>
        <v>1531790.5700000003</v>
      </c>
      <c r="I115" s="6">
        <f t="shared" si="8"/>
        <v>14627.99</v>
      </c>
      <c r="J115" s="18">
        <f t="shared" si="9"/>
        <v>0.9549601810122121</v>
      </c>
    </row>
    <row r="116" spans="1:10" ht="15">
      <c r="A116" s="23" t="s">
        <v>119</v>
      </c>
      <c r="B116" s="4">
        <f>537185.83+45.02+712.88-731.39</f>
        <v>537212.34</v>
      </c>
      <c r="C116" s="4">
        <v>14193.32</v>
      </c>
      <c r="D116" s="18">
        <f t="shared" si="5"/>
        <v>2.642031640598576</v>
      </c>
      <c r="E116" s="4">
        <f>94141.62+26417.82+14255.54+2052.14+8.31+26.74-12031.95-350.18</f>
        <v>124520.04000000002</v>
      </c>
      <c r="F116" s="4">
        <f>11409.87+3622.09+327.02</f>
        <v>15358.980000000001</v>
      </c>
      <c r="G116" s="18">
        <f t="shared" si="6"/>
        <v>12.334544704611401</v>
      </c>
      <c r="H116" s="6">
        <f t="shared" si="7"/>
        <v>661732.38</v>
      </c>
      <c r="I116" s="6">
        <f t="shared" si="8"/>
        <v>29552.300000000003</v>
      </c>
      <c r="J116" s="18">
        <f t="shared" si="9"/>
        <v>4.465899039125152</v>
      </c>
    </row>
    <row r="117" spans="1:10" ht="15">
      <c r="A117" s="2" t="s">
        <v>120</v>
      </c>
      <c r="B117" s="4">
        <f>967083.44+81.62+148.87+33.23-3717.93</f>
        <v>963629.2299999999</v>
      </c>
      <c r="C117" s="4">
        <v>13120.46</v>
      </c>
      <c r="D117" s="18">
        <f t="shared" si="5"/>
        <v>1.3615672492624575</v>
      </c>
      <c r="E117" s="4">
        <f>51712.35+16870.5+14629.2+24733.8+15.75</f>
        <v>107961.6</v>
      </c>
      <c r="F117" s="4">
        <f>213.38+15.14</f>
        <v>228.51999999999998</v>
      </c>
      <c r="G117" s="18">
        <f t="shared" si="6"/>
        <v>0.21166785227340087</v>
      </c>
      <c r="H117" s="6">
        <f t="shared" si="7"/>
        <v>1071590.8299999998</v>
      </c>
      <c r="I117" s="6">
        <f t="shared" si="8"/>
        <v>13348.98</v>
      </c>
      <c r="J117" s="18">
        <f t="shared" si="9"/>
        <v>1.2457161470857305</v>
      </c>
    </row>
    <row r="118" spans="1:10" ht="15">
      <c r="A118" s="2" t="s">
        <v>121</v>
      </c>
      <c r="B118" s="15">
        <f>363467.13+360.14+755.43-1042.86</f>
        <v>363539.84</v>
      </c>
      <c r="C118" s="15">
        <v>10416.36</v>
      </c>
      <c r="D118" s="18">
        <f t="shared" si="5"/>
        <v>2.8652595544961454</v>
      </c>
      <c r="E118" s="15">
        <f>20608.19+1969.74+859.18+2.85</f>
        <v>23439.96</v>
      </c>
      <c r="F118" s="15">
        <v>225.68</v>
      </c>
      <c r="G118" s="18">
        <f t="shared" si="6"/>
        <v>0.9628002778161738</v>
      </c>
      <c r="H118" s="6">
        <f t="shared" si="7"/>
        <v>386979.80000000005</v>
      </c>
      <c r="I118" s="6">
        <f t="shared" si="8"/>
        <v>10642.04</v>
      </c>
      <c r="J118" s="18">
        <f t="shared" si="9"/>
        <v>2.750024678290701</v>
      </c>
    </row>
    <row r="119" spans="1:10" ht="15">
      <c r="A119" s="2" t="s">
        <v>122</v>
      </c>
      <c r="B119" s="4">
        <f>653830.39+45.02+38090.49+488-1319.7</f>
        <v>691134.2000000001</v>
      </c>
      <c r="C119" s="4">
        <v>10906.46</v>
      </c>
      <c r="D119" s="18">
        <f t="shared" si="5"/>
        <v>1.5780524245508323</v>
      </c>
      <c r="E119" s="4">
        <f>196.5+776405.35+129640.97+33516.59+2+1664.11+15.34</f>
        <v>941440.8599999999</v>
      </c>
      <c r="F119" s="4">
        <v>136.75</v>
      </c>
      <c r="G119" s="18">
        <f t="shared" si="6"/>
        <v>0.014525607057250525</v>
      </c>
      <c r="H119" s="6">
        <f t="shared" si="7"/>
        <v>1632575.06</v>
      </c>
      <c r="I119" s="6">
        <f t="shared" si="8"/>
        <v>11043.21</v>
      </c>
      <c r="J119" s="18">
        <f t="shared" si="9"/>
        <v>0.6764289293994237</v>
      </c>
    </row>
    <row r="120" spans="1:10" ht="15">
      <c r="A120" s="2" t="s">
        <v>123</v>
      </c>
      <c r="B120" s="4">
        <f>9074716.58+1120.98+10697.14+1055.82-14593.97</f>
        <v>9072996.55</v>
      </c>
      <c r="C120" s="4">
        <f>77479.49</f>
        <v>77479.49</v>
      </c>
      <c r="D120" s="18">
        <f t="shared" si="5"/>
        <v>0.8539570093851738</v>
      </c>
      <c r="E120" s="4">
        <f>8808.9+1899641.97+1378817.66+331196.54+21739.22+9.66+256.37-155.5-2058.51</f>
        <v>3638256.3100000005</v>
      </c>
      <c r="F120" s="4">
        <f>15234.59+14.39+2538.63+0.01</f>
        <v>17787.62</v>
      </c>
      <c r="G120" s="18">
        <f t="shared" si="6"/>
        <v>0.48890508211610845</v>
      </c>
      <c r="H120" s="6">
        <f t="shared" si="7"/>
        <v>12711252.860000001</v>
      </c>
      <c r="I120" s="6">
        <f t="shared" si="8"/>
        <v>95267.11</v>
      </c>
      <c r="J120" s="18">
        <f t="shared" si="9"/>
        <v>0.7494706544607279</v>
      </c>
    </row>
    <row r="121" spans="1:10" ht="15">
      <c r="A121" s="2" t="s">
        <v>124</v>
      </c>
      <c r="B121" s="15">
        <f>597792.35+10.06-853.62</f>
        <v>596948.79</v>
      </c>
      <c r="C121" s="15">
        <v>6419.22</v>
      </c>
      <c r="D121" s="18">
        <f t="shared" si="5"/>
        <v>1.0753384725011337</v>
      </c>
      <c r="E121" s="15">
        <f>91779.18+115638.71+30495.93+384.47+0.18-13.1</f>
        <v>238285.37</v>
      </c>
      <c r="F121" s="15">
        <v>7.41</v>
      </c>
      <c r="G121" s="18">
        <f t="shared" si="6"/>
        <v>0.0031097167232717647</v>
      </c>
      <c r="H121" s="6">
        <f t="shared" si="7"/>
        <v>835234.16</v>
      </c>
      <c r="I121" s="6">
        <f t="shared" si="8"/>
        <v>6426.63</v>
      </c>
      <c r="J121" s="18">
        <f t="shared" si="9"/>
        <v>0.769440512346861</v>
      </c>
    </row>
    <row r="122" spans="1:10" ht="15">
      <c r="A122" s="2" t="s">
        <v>125</v>
      </c>
      <c r="B122" s="4">
        <f>841543.85+918.79+250.04-2425.72</f>
        <v>840286.9600000001</v>
      </c>
      <c r="C122" s="15">
        <v>12346.77</v>
      </c>
      <c r="D122" s="18">
        <f t="shared" si="5"/>
        <v>1.4693516129299447</v>
      </c>
      <c r="E122" s="4">
        <f>109143.5+52066.67+19403.81+2176.85+72.09+30.09+2.49</f>
        <v>182895.49999999997</v>
      </c>
      <c r="F122" s="4">
        <f>1914.67+95.3+23.9+245.07+2.77</f>
        <v>2281.71</v>
      </c>
      <c r="G122" s="18">
        <f t="shared" si="6"/>
        <v>1.2475484634668432</v>
      </c>
      <c r="H122" s="6">
        <f t="shared" si="7"/>
        <v>1023182.4600000001</v>
      </c>
      <c r="I122" s="6">
        <f t="shared" si="8"/>
        <v>14628.48</v>
      </c>
      <c r="J122" s="18">
        <f t="shared" si="9"/>
        <v>1.4297039454722473</v>
      </c>
    </row>
    <row r="123" spans="1:10" ht="15">
      <c r="A123" s="2" t="s">
        <v>126</v>
      </c>
      <c r="B123" s="4">
        <f>505631.81+26824.92+261.32-965.26</f>
        <v>531752.7899999999</v>
      </c>
      <c r="C123" s="4">
        <v>16076.81</v>
      </c>
      <c r="D123" s="18">
        <f t="shared" si="5"/>
        <v>3.023361663979234</v>
      </c>
      <c r="E123" s="4">
        <f>2052+490781.64+68790.68+12160.71+549+18.52</f>
        <v>574352.55</v>
      </c>
      <c r="F123" s="4">
        <f>263.93+8.05</f>
        <v>271.98</v>
      </c>
      <c r="G123" s="18">
        <f t="shared" si="6"/>
        <v>0.04735419038358931</v>
      </c>
      <c r="H123" s="6">
        <f t="shared" si="7"/>
        <v>1106105.3399999999</v>
      </c>
      <c r="I123" s="6">
        <f t="shared" si="8"/>
        <v>16348.789999999999</v>
      </c>
      <c r="J123" s="18">
        <f t="shared" si="9"/>
        <v>1.4780500020007137</v>
      </c>
    </row>
    <row r="124" spans="1:10" ht="15">
      <c r="A124" s="2" t="s">
        <v>127</v>
      </c>
      <c r="B124" s="4">
        <f>1238038.88+135.05+17652.39+1990.28-10323.98</f>
        <v>1247492.6199999999</v>
      </c>
      <c r="C124" s="4">
        <v>75626.17</v>
      </c>
      <c r="D124" s="18">
        <f t="shared" si="5"/>
        <v>6.062253899345714</v>
      </c>
      <c r="E124" s="4">
        <f>315+277098.31+88871.66+38693.69+336.7+0.04+1844.48+979.68-132.25</f>
        <v>408007.30999999994</v>
      </c>
      <c r="F124" s="4">
        <f>3791.42+15.76+287.38</f>
        <v>4094.5600000000004</v>
      </c>
      <c r="G124" s="18">
        <f t="shared" si="6"/>
        <v>1.0035506471685522</v>
      </c>
      <c r="H124" s="6">
        <f t="shared" si="7"/>
        <v>1655499.9299999997</v>
      </c>
      <c r="I124" s="6">
        <f t="shared" si="8"/>
        <v>79720.73</v>
      </c>
      <c r="J124" s="18">
        <f t="shared" si="9"/>
        <v>4.815507905216282</v>
      </c>
    </row>
    <row r="125" spans="1:10" ht="15">
      <c r="A125" s="2" t="s">
        <v>128</v>
      </c>
      <c r="B125" s="4">
        <f>188031.41+42.7+15027.56-1742.57</f>
        <v>201359.1</v>
      </c>
      <c r="C125" s="4">
        <v>10257.4</v>
      </c>
      <c r="D125" s="18">
        <f t="shared" si="5"/>
        <v>5.094083157900487</v>
      </c>
      <c r="E125" s="4">
        <f>22066.07+203.89+6449.78+0.33</f>
        <v>28720.07</v>
      </c>
      <c r="F125" s="4">
        <f>233.75+17.82</f>
        <v>251.57</v>
      </c>
      <c r="G125" s="18">
        <f t="shared" si="6"/>
        <v>0.8759379764742913</v>
      </c>
      <c r="H125" s="6">
        <f t="shared" si="7"/>
        <v>230079.17</v>
      </c>
      <c r="I125" s="6">
        <f t="shared" si="8"/>
        <v>10508.97</v>
      </c>
      <c r="J125" s="18">
        <f t="shared" si="9"/>
        <v>4.567545162823735</v>
      </c>
    </row>
    <row r="126" spans="1:10" ht="15">
      <c r="A126" s="2" t="s">
        <v>129</v>
      </c>
      <c r="B126" s="4">
        <f>2533177.36+45.02+893.77-3901.19</f>
        <v>2530214.96</v>
      </c>
      <c r="C126" s="4">
        <v>24501.87</v>
      </c>
      <c r="D126" s="18">
        <f t="shared" si="5"/>
        <v>0.9683710825897575</v>
      </c>
      <c r="E126" s="4">
        <f>84.18+246730.12+256600.21+43674.03+15.13+1970.49-30.14</f>
        <v>549044.02</v>
      </c>
      <c r="F126" s="4">
        <f>346.85+59.36</f>
        <v>406.21000000000004</v>
      </c>
      <c r="G126" s="18">
        <f t="shared" si="6"/>
        <v>0.0739849602587421</v>
      </c>
      <c r="H126" s="6">
        <f t="shared" si="7"/>
        <v>3079258.98</v>
      </c>
      <c r="I126" s="6">
        <f t="shared" si="8"/>
        <v>24908.079999999998</v>
      </c>
      <c r="J126" s="18">
        <f t="shared" si="9"/>
        <v>0.8088985097317147</v>
      </c>
    </row>
    <row r="127" spans="1:10" ht="15.75" thickBot="1">
      <c r="A127" s="3"/>
      <c r="B127" s="5"/>
      <c r="C127" s="5"/>
      <c r="D127" s="19"/>
      <c r="E127" s="5"/>
      <c r="F127" s="5"/>
      <c r="G127" s="19"/>
      <c r="H127" s="7"/>
      <c r="I127" s="7"/>
      <c r="J127" s="3"/>
    </row>
    <row r="128" spans="1:10" ht="15.75" thickTop="1">
      <c r="A128" s="2" t="s">
        <v>130</v>
      </c>
      <c r="B128" s="13">
        <f>SUM(B7:B127)</f>
        <v>287061397.34</v>
      </c>
      <c r="C128" s="13">
        <f>SUM(C7:C127)</f>
        <v>4376828.68</v>
      </c>
      <c r="D128" s="20">
        <f>C128/B128*100</f>
        <v>1.5247012383263834</v>
      </c>
      <c r="E128" s="13">
        <f>SUM(E7:E126)</f>
        <v>95798642.24</v>
      </c>
      <c r="F128" s="13">
        <f>SUM(F7:F126)</f>
        <v>2453486.090000001</v>
      </c>
      <c r="G128" s="20">
        <f>F128/E128*100</f>
        <v>2.561086496250535</v>
      </c>
      <c r="H128" s="13">
        <f>SUM(H7:H126)</f>
        <v>382860039.58000016</v>
      </c>
      <c r="I128" s="13">
        <f>SUM(I7:I126)</f>
        <v>6830314.7700000005</v>
      </c>
      <c r="J128" s="20">
        <f>I128/H128*100</f>
        <v>1.7840239418804058</v>
      </c>
    </row>
    <row r="130" spans="1:10" ht="15">
      <c r="A130" s="17">
        <v>41879</v>
      </c>
      <c r="B130" s="27" t="s">
        <v>131</v>
      </c>
      <c r="C130" s="27"/>
      <c r="D130" s="27"/>
      <c r="E130" s="27"/>
      <c r="F130" s="27"/>
      <c r="G130" s="27"/>
      <c r="H130" s="27"/>
      <c r="I130" s="27"/>
      <c r="J130" s="27"/>
    </row>
  </sheetData>
  <sheetProtection/>
  <mergeCells count="3">
    <mergeCell ref="A2:J2"/>
    <mergeCell ref="A3:J3"/>
    <mergeCell ref="B130:J130"/>
  </mergeCells>
  <printOptions/>
  <pageMargins left="0.25" right="0.25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</dc:title>
  <dc:subject/>
  <dc:creator>%USERNAME%</dc:creator>
  <cp:keywords/>
  <dc:description/>
  <cp:lastModifiedBy>rev4701</cp:lastModifiedBy>
  <cp:lastPrinted>2016-04-27T17:50:23Z</cp:lastPrinted>
  <dcterms:created xsi:type="dcterms:W3CDTF">2015-10-02T13:06:53Z</dcterms:created>
  <dcterms:modified xsi:type="dcterms:W3CDTF">2019-01-18T13:57:05Z</dcterms:modified>
  <cp:category/>
  <cp:version/>
  <cp:contentType/>
  <cp:contentStatus/>
</cp:coreProperties>
</file>